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35"/>
  </bookViews>
  <sheets>
    <sheet name="Бизнес-план" sheetId="1" r:id="rId1"/>
    <sheet name="Синергия_доходы - расходы" sheetId="3" r:id="rId2"/>
    <sheet name="Расходы на пополнение карт" sheetId="4" r:id="rId3"/>
    <sheet name="Свод по инвестициям в SAP" sheetId="5" r:id="rId4"/>
  </sheets>
  <externalReferences>
    <externalReference r:id="rId5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/>
  <c r="K38"/>
  <c r="V12" i="4"/>
  <c r="K36" i="1"/>
  <c r="B12" l="1"/>
  <c r="F41"/>
  <c r="A5"/>
  <c r="A4"/>
  <c r="J66" i="5"/>
  <c r="M66" s="1"/>
  <c r="O66" s="1"/>
  <c r="P66" s="1"/>
  <c r="Q66" s="1"/>
  <c r="R66" s="1"/>
  <c r="S66" s="1"/>
  <c r="T66" s="1"/>
  <c r="U66" s="1"/>
  <c r="V66" s="1"/>
  <c r="W66" s="1"/>
  <c r="X66" s="1"/>
  <c r="Y66" s="1"/>
  <c r="Z66" s="1"/>
  <c r="AA66" s="1"/>
  <c r="AB66" s="1"/>
  <c r="AC66" s="1"/>
  <c r="AD66" s="1"/>
  <c r="AE66" s="1"/>
  <c r="AF66" s="1"/>
  <c r="AG66" s="1"/>
  <c r="AH66" s="1"/>
  <c r="AI66" s="1"/>
  <c r="AJ66" s="1"/>
  <c r="G66"/>
  <c r="P65"/>
  <c r="J65"/>
  <c r="Z65"/>
  <c r="AA65"/>
  <c r="AB65"/>
  <c r="AC65"/>
  <c r="AD65"/>
  <c r="AE65"/>
  <c r="AF65"/>
  <c r="AG65"/>
  <c r="AH65"/>
  <c r="AI65"/>
  <c r="AJ65"/>
  <c r="Y65"/>
  <c r="O65"/>
  <c r="Q65"/>
  <c r="R65"/>
  <c r="S65"/>
  <c r="T65"/>
  <c r="U65"/>
  <c r="V65"/>
  <c r="W65"/>
  <c r="X65"/>
  <c r="M65"/>
  <c r="G65"/>
  <c r="Q48" i="1"/>
  <c r="E48"/>
  <c r="C48"/>
  <c r="G57" l="1"/>
  <c r="H57"/>
  <c r="I57"/>
  <c r="J57"/>
  <c r="K12" l="1"/>
  <c r="M57"/>
  <c r="N57"/>
  <c r="O57"/>
  <c r="L57"/>
  <c r="B60"/>
  <c r="K57"/>
  <c r="F57"/>
  <c r="O45" i="5"/>
  <c r="G14" i="1"/>
  <c r="Z41"/>
  <c r="G51" i="5"/>
  <c r="V37" i="1"/>
  <c r="W37"/>
  <c r="X37"/>
  <c r="Y37"/>
  <c r="V38"/>
  <c r="W38"/>
  <c r="X38"/>
  <c r="Y38"/>
  <c r="V39"/>
  <c r="W39"/>
  <c r="X39"/>
  <c r="Y39"/>
  <c r="V40"/>
  <c r="W40"/>
  <c r="X40"/>
  <c r="Y40"/>
  <c r="W36"/>
  <c r="X36"/>
  <c r="Y36"/>
  <c r="Y41" s="1"/>
  <c r="V36"/>
  <c r="Z37"/>
  <c r="Z38"/>
  <c r="Z39"/>
  <c r="Z40"/>
  <c r="Z36"/>
  <c r="Q37"/>
  <c r="R37"/>
  <c r="S37"/>
  <c r="T37"/>
  <c r="Q38"/>
  <c r="R38"/>
  <c r="S38"/>
  <c r="T38"/>
  <c r="Q39"/>
  <c r="R39"/>
  <c r="S39"/>
  <c r="T39"/>
  <c r="Q40"/>
  <c r="R40"/>
  <c r="S40"/>
  <c r="T40"/>
  <c r="W41" l="1"/>
  <c r="V41"/>
  <c r="X41"/>
  <c r="X51" s="1"/>
  <c r="C60"/>
  <c r="U37"/>
  <c r="U38"/>
  <c r="U39"/>
  <c r="U40"/>
  <c r="L37"/>
  <c r="M37"/>
  <c r="N37"/>
  <c r="O37"/>
  <c r="L38"/>
  <c r="M38"/>
  <c r="N38"/>
  <c r="O38"/>
  <c r="L39"/>
  <c r="M39"/>
  <c r="N39"/>
  <c r="O39"/>
  <c r="L40"/>
  <c r="M40"/>
  <c r="N40"/>
  <c r="O40"/>
  <c r="P37"/>
  <c r="P38"/>
  <c r="P39"/>
  <c r="P40"/>
  <c r="G37"/>
  <c r="H37"/>
  <c r="I37"/>
  <c r="J37"/>
  <c r="G38"/>
  <c r="H38"/>
  <c r="I38"/>
  <c r="J38"/>
  <c r="G39"/>
  <c r="H39"/>
  <c r="I39"/>
  <c r="J39"/>
  <c r="G40"/>
  <c r="H40"/>
  <c r="I40"/>
  <c r="J40"/>
  <c r="K37"/>
  <c r="K39"/>
  <c r="K40"/>
  <c r="A37"/>
  <c r="A38"/>
  <c r="A39"/>
  <c r="A40"/>
  <c r="A36"/>
  <c r="P30" i="3"/>
  <c r="Q30"/>
  <c r="O12"/>
  <c r="O15"/>
  <c r="O29"/>
  <c r="O14"/>
  <c r="O28"/>
  <c r="O27"/>
  <c r="W12" i="4"/>
  <c r="P8" i="1"/>
  <c r="M8" s="1"/>
  <c r="O7" i="3"/>
  <c r="O23"/>
  <c r="P9" i="1" s="1"/>
  <c r="M9" s="1"/>
  <c r="O22" i="3"/>
  <c r="O6"/>
  <c r="O18"/>
  <c r="P4" i="1" s="1"/>
  <c r="N4" s="1"/>
  <c r="O8" i="3"/>
  <c r="O32" s="1"/>
  <c r="O9"/>
  <c r="O19"/>
  <c r="P5" i="1" s="1"/>
  <c r="M5" s="1"/>
  <c r="A6"/>
  <c r="A7"/>
  <c r="A8"/>
  <c r="A9"/>
  <c r="B10"/>
  <c r="B11" s="1"/>
  <c r="B14" s="1"/>
  <c r="B52" s="1"/>
  <c r="Z51"/>
  <c r="Y51"/>
  <c r="W51"/>
  <c r="V51"/>
  <c r="Y43"/>
  <c r="X43"/>
  <c r="W43"/>
  <c r="V43"/>
  <c r="T43"/>
  <c r="S43"/>
  <c r="R43"/>
  <c r="Q43"/>
  <c r="O50" i="5"/>
  <c r="O48"/>
  <c r="M48"/>
  <c r="J48"/>
  <c r="G48"/>
  <c r="O47"/>
  <c r="O46"/>
  <c r="M45"/>
  <c r="J45"/>
  <c r="G45"/>
  <c r="N42"/>
  <c r="J42"/>
  <c r="G42"/>
  <c r="J40"/>
  <c r="G40"/>
  <c r="N39"/>
  <c r="G39"/>
  <c r="O39" s="1"/>
  <c r="O37" s="1"/>
  <c r="M37"/>
  <c r="J37"/>
  <c r="J43" s="1"/>
  <c r="G37"/>
  <c r="G43" s="1"/>
  <c r="N36"/>
  <c r="J36"/>
  <c r="G36"/>
  <c r="N35"/>
  <c r="J35"/>
  <c r="G35"/>
  <c r="N34"/>
  <c r="M34"/>
  <c r="J34"/>
  <c r="G34"/>
  <c r="O34" s="1"/>
  <c r="N33"/>
  <c r="M33"/>
  <c r="J33"/>
  <c r="G33"/>
  <c r="O33" s="1"/>
  <c r="N32"/>
  <c r="M32"/>
  <c r="J32"/>
  <c r="G32"/>
  <c r="O32" s="1"/>
  <c r="N31"/>
  <c r="M31"/>
  <c r="M35" s="1"/>
  <c r="J31"/>
  <c r="G31"/>
  <c r="O31" s="1"/>
  <c r="N30"/>
  <c r="M30"/>
  <c r="J30"/>
  <c r="G30"/>
  <c r="O30" s="1"/>
  <c r="N29"/>
  <c r="M29"/>
  <c r="J29"/>
  <c r="G29"/>
  <c r="O29" s="1"/>
  <c r="N28"/>
  <c r="M28"/>
  <c r="J28"/>
  <c r="G28"/>
  <c r="O28" s="1"/>
  <c r="N27"/>
  <c r="M27"/>
  <c r="M36" s="1"/>
  <c r="J27"/>
  <c r="G27"/>
  <c r="O27" s="1"/>
  <c r="N23"/>
  <c r="G23"/>
  <c r="O23" s="1"/>
  <c r="O21"/>
  <c r="N20"/>
  <c r="M20"/>
  <c r="J20"/>
  <c r="G20"/>
  <c r="O20" s="1"/>
  <c r="O18"/>
  <c r="N17"/>
  <c r="N16"/>
  <c r="M16"/>
  <c r="J16"/>
  <c r="G16"/>
  <c r="O16" s="1"/>
  <c r="N15"/>
  <c r="M15"/>
  <c r="J15"/>
  <c r="G15"/>
  <c r="O15" s="1"/>
  <c r="N14"/>
  <c r="M14"/>
  <c r="J14"/>
  <c r="G14"/>
  <c r="O14" s="1"/>
  <c r="N13"/>
  <c r="M13"/>
  <c r="J13"/>
  <c r="G13"/>
  <c r="O13" s="1"/>
  <c r="N12"/>
  <c r="M12"/>
  <c r="J12"/>
  <c r="G12"/>
  <c r="O12" s="1"/>
  <c r="N11"/>
  <c r="M11"/>
  <c r="M17" s="1"/>
  <c r="M9" s="1"/>
  <c r="M24" s="1"/>
  <c r="J11"/>
  <c r="J17" s="1"/>
  <c r="J9" s="1"/>
  <c r="J24" s="1"/>
  <c r="J44" s="1"/>
  <c r="G11"/>
  <c r="G17" s="1"/>
  <c r="N8"/>
  <c r="G8"/>
  <c r="N7"/>
  <c r="M7"/>
  <c r="J7"/>
  <c r="O7" s="1"/>
  <c r="N6"/>
  <c r="M6"/>
  <c r="M8" s="1"/>
  <c r="J6"/>
  <c r="J8" s="1"/>
  <c r="F23" i="4"/>
  <c r="F22"/>
  <c r="F21"/>
  <c r="F20"/>
  <c r="F18"/>
  <c r="F17"/>
  <c r="F16"/>
  <c r="F15"/>
  <c r="Y10"/>
  <c r="X10"/>
  <c r="W10"/>
  <c r="V10"/>
  <c r="U10"/>
  <c r="T10"/>
  <c r="S10"/>
  <c r="R10"/>
  <c r="Q10"/>
  <c r="P10"/>
  <c r="O10"/>
  <c r="N10"/>
  <c r="M10"/>
  <c r="L10"/>
  <c r="K10"/>
  <c r="Y7"/>
  <c r="X7"/>
  <c r="W7"/>
  <c r="V7"/>
  <c r="U7"/>
  <c r="T7"/>
  <c r="S7"/>
  <c r="R7"/>
  <c r="Q7"/>
  <c r="P7"/>
  <c r="O7"/>
  <c r="N7"/>
  <c r="M7"/>
  <c r="L7"/>
  <c r="K7"/>
  <c r="Y5"/>
  <c r="Y6" s="1"/>
  <c r="Y9" s="1"/>
  <c r="Y11" s="1"/>
  <c r="Y12" s="1"/>
  <c r="W5"/>
  <c r="W6" s="1"/>
  <c r="W9" s="1"/>
  <c r="W11" s="1"/>
  <c r="U5"/>
  <c r="U6" s="1"/>
  <c r="U9" s="1"/>
  <c r="U11" s="1"/>
  <c r="U12" s="1"/>
  <c r="S5"/>
  <c r="S6" s="1"/>
  <c r="S9" s="1"/>
  <c r="S11" s="1"/>
  <c r="S12" s="1"/>
  <c r="Q5"/>
  <c r="Q6" s="1"/>
  <c r="Q9" s="1"/>
  <c r="Q11" s="1"/>
  <c r="Q12" s="1"/>
  <c r="O5"/>
  <c r="O6" s="1"/>
  <c r="O9" s="1"/>
  <c r="O11" s="1"/>
  <c r="O12" s="1"/>
  <c r="M5"/>
  <c r="M6" s="1"/>
  <c r="M9" s="1"/>
  <c r="M11" s="1"/>
  <c r="M12" s="1"/>
  <c r="K5"/>
  <c r="K6" s="1"/>
  <c r="Y3"/>
  <c r="X3"/>
  <c r="X5" s="1"/>
  <c r="X6" s="1"/>
  <c r="X9" s="1"/>
  <c r="X11" s="1"/>
  <c r="X12" s="1"/>
  <c r="W3"/>
  <c r="V3"/>
  <c r="V5" s="1"/>
  <c r="V6" s="1"/>
  <c r="V9" s="1"/>
  <c r="V11" s="1"/>
  <c r="U3"/>
  <c r="T3"/>
  <c r="T5" s="1"/>
  <c r="T6" s="1"/>
  <c r="T9" s="1"/>
  <c r="T11" s="1"/>
  <c r="T12" s="1"/>
  <c r="S3"/>
  <c r="R3"/>
  <c r="R5" s="1"/>
  <c r="R6" s="1"/>
  <c r="R9" s="1"/>
  <c r="R11" s="1"/>
  <c r="R12" s="1"/>
  <c r="Q3"/>
  <c r="P3"/>
  <c r="P5" s="1"/>
  <c r="P6" s="1"/>
  <c r="P9" s="1"/>
  <c r="P11" s="1"/>
  <c r="P12" s="1"/>
  <c r="O3"/>
  <c r="N3"/>
  <c r="N5" s="1"/>
  <c r="N6" s="1"/>
  <c r="N9" s="1"/>
  <c r="N11" s="1"/>
  <c r="N12" s="1"/>
  <c r="M3"/>
  <c r="L3"/>
  <c r="L5" s="1"/>
  <c r="L6" s="1"/>
  <c r="L9" s="1"/>
  <c r="L11" s="1"/>
  <c r="L12" s="1"/>
  <c r="K3"/>
  <c r="Q26" i="3"/>
  <c r="P26"/>
  <c r="U36" i="1" s="1"/>
  <c r="O26" i="3"/>
  <c r="P36" i="1" s="1"/>
  <c r="M26" i="3"/>
  <c r="L26"/>
  <c r="K26"/>
  <c r="J26"/>
  <c r="I26"/>
  <c r="H26"/>
  <c r="G26"/>
  <c r="F26"/>
  <c r="E26"/>
  <c r="D26"/>
  <c r="C26"/>
  <c r="B26"/>
  <c r="N26" s="1"/>
  <c r="Q21"/>
  <c r="Z7" i="1" s="1"/>
  <c r="W7" s="1"/>
  <c r="P21" i="3"/>
  <c r="U7" i="1" s="1"/>
  <c r="R7" s="1"/>
  <c r="O21" i="3"/>
  <c r="P7" i="1" s="1"/>
  <c r="M7" s="1"/>
  <c r="M21" i="3"/>
  <c r="L21"/>
  <c r="K21"/>
  <c r="J21"/>
  <c r="I21"/>
  <c r="H21"/>
  <c r="G21"/>
  <c r="F21"/>
  <c r="E21"/>
  <c r="D21"/>
  <c r="C21"/>
  <c r="B21"/>
  <c r="N21" s="1"/>
  <c r="K7" i="1" s="1"/>
  <c r="H7" s="1"/>
  <c r="Q14" i="3"/>
  <c r="P14"/>
  <c r="P19" s="1"/>
  <c r="U5" i="1" s="1"/>
  <c r="R5" s="1"/>
  <c r="Q12" i="3"/>
  <c r="P12"/>
  <c r="P15" s="1"/>
  <c r="P29" s="1"/>
  <c r="N10"/>
  <c r="Q9"/>
  <c r="P9"/>
  <c r="M9"/>
  <c r="L9"/>
  <c r="K9"/>
  <c r="J9"/>
  <c r="I9"/>
  <c r="H9"/>
  <c r="G9"/>
  <c r="F9"/>
  <c r="E9"/>
  <c r="D9"/>
  <c r="C9"/>
  <c r="B9"/>
  <c r="N9" s="1"/>
  <c r="Q8"/>
  <c r="P8"/>
  <c r="P32" s="1"/>
  <c r="M8"/>
  <c r="L8"/>
  <c r="L32" s="1"/>
  <c r="K8"/>
  <c r="J8"/>
  <c r="J20" s="1"/>
  <c r="I8"/>
  <c r="H8"/>
  <c r="H32" s="1"/>
  <c r="G8"/>
  <c r="F8"/>
  <c r="F20" s="1"/>
  <c r="E8"/>
  <c r="D8"/>
  <c r="D32" s="1"/>
  <c r="C8"/>
  <c r="B8"/>
  <c r="B20" s="1"/>
  <c r="Q7"/>
  <c r="Q23" s="1"/>
  <c r="Z9" i="1" s="1"/>
  <c r="W9" s="1"/>
  <c r="P7" i="3"/>
  <c r="P23" s="1"/>
  <c r="U9" i="1" s="1"/>
  <c r="R9" s="1"/>
  <c r="M7" i="3"/>
  <c r="M23" s="1"/>
  <c r="L7"/>
  <c r="L23" s="1"/>
  <c r="K7"/>
  <c r="K23" s="1"/>
  <c r="J7"/>
  <c r="J23" s="1"/>
  <c r="I7"/>
  <c r="I23" s="1"/>
  <c r="H7"/>
  <c r="H23" s="1"/>
  <c r="G7"/>
  <c r="G23" s="1"/>
  <c r="F7"/>
  <c r="F23" s="1"/>
  <c r="E7"/>
  <c r="E23" s="1"/>
  <c r="D7"/>
  <c r="D23" s="1"/>
  <c r="C7"/>
  <c r="C23" s="1"/>
  <c r="B7"/>
  <c r="B23" s="1"/>
  <c r="N23" s="1"/>
  <c r="K9" i="1" s="1"/>
  <c r="H9" s="1"/>
  <c r="Q6" i="3"/>
  <c r="Q18" s="1"/>
  <c r="Z4" i="1" s="1"/>
  <c r="X4" s="1"/>
  <c r="P6" i="3"/>
  <c r="P18" s="1"/>
  <c r="U4" i="1" s="1"/>
  <c r="S4" s="1"/>
  <c r="M6" i="3"/>
  <c r="M18" s="1"/>
  <c r="L6"/>
  <c r="L18" s="1"/>
  <c r="K6"/>
  <c r="K18" s="1"/>
  <c r="J6"/>
  <c r="J18" s="1"/>
  <c r="I6"/>
  <c r="I18" s="1"/>
  <c r="H6"/>
  <c r="H18" s="1"/>
  <c r="G6"/>
  <c r="G18" s="1"/>
  <c r="F6"/>
  <c r="F18" s="1"/>
  <c r="E6"/>
  <c r="E18" s="1"/>
  <c r="D6"/>
  <c r="D18" s="1"/>
  <c r="C6"/>
  <c r="C18" s="1"/>
  <c r="B6"/>
  <c r="B18" s="1"/>
  <c r="M5"/>
  <c r="N5" s="1"/>
  <c r="O30" s="1"/>
  <c r="L5"/>
  <c r="L14" s="1"/>
  <c r="K5"/>
  <c r="K14" s="1"/>
  <c r="J5"/>
  <c r="J14" s="1"/>
  <c r="I5"/>
  <c r="I14" s="1"/>
  <c r="H5"/>
  <c r="H14" s="1"/>
  <c r="G5"/>
  <c r="G14" s="1"/>
  <c r="F5"/>
  <c r="F14" s="1"/>
  <c r="E5"/>
  <c r="E14" s="1"/>
  <c r="D5"/>
  <c r="D14" s="1"/>
  <c r="C5"/>
  <c r="C14" s="1"/>
  <c r="B5"/>
  <c r="B30" s="1"/>
  <c r="N4"/>
  <c r="U43" i="1" l="1"/>
  <c r="Z43"/>
  <c r="D60"/>
  <c r="B13"/>
  <c r="K41"/>
  <c r="I36"/>
  <c r="I41" s="1"/>
  <c r="G36"/>
  <c r="G41" s="1"/>
  <c r="H36"/>
  <c r="H41" s="1"/>
  <c r="H45" s="1"/>
  <c r="J36"/>
  <c r="J41" s="1"/>
  <c r="P41"/>
  <c r="N36"/>
  <c r="N41" s="1"/>
  <c r="L36"/>
  <c r="L41" s="1"/>
  <c r="M36"/>
  <c r="M41" s="1"/>
  <c r="O36"/>
  <c r="O41" s="1"/>
  <c r="S36"/>
  <c r="S41" s="1"/>
  <c r="S51" s="1"/>
  <c r="Q36"/>
  <c r="Q41" s="1"/>
  <c r="Q51" s="1"/>
  <c r="R36"/>
  <c r="R41" s="1"/>
  <c r="R51" s="1"/>
  <c r="T36"/>
  <c r="T41" s="1"/>
  <c r="T51" s="1"/>
  <c r="U41"/>
  <c r="U51" s="1"/>
  <c r="N6" i="3"/>
  <c r="P28"/>
  <c r="O20"/>
  <c r="P6" i="1" s="1"/>
  <c r="M6" s="1"/>
  <c r="P22" i="3"/>
  <c r="U8" i="1" s="1"/>
  <c r="R8" s="1"/>
  <c r="P27" i="3"/>
  <c r="I9" i="1"/>
  <c r="G9"/>
  <c r="I7"/>
  <c r="G7"/>
  <c r="O4"/>
  <c r="M4"/>
  <c r="M10" s="1"/>
  <c r="M11" s="1"/>
  <c r="N9"/>
  <c r="L9"/>
  <c r="N8"/>
  <c r="L8"/>
  <c r="N7"/>
  <c r="L7"/>
  <c r="N6"/>
  <c r="L6"/>
  <c r="N5"/>
  <c r="N10" s="1"/>
  <c r="N11" s="1"/>
  <c r="L5"/>
  <c r="T4"/>
  <c r="R4"/>
  <c r="S9"/>
  <c r="Q9"/>
  <c r="S8"/>
  <c r="Q8"/>
  <c r="S7"/>
  <c r="Q7"/>
  <c r="S5"/>
  <c r="Q5"/>
  <c r="Y4"/>
  <c r="W4"/>
  <c r="X9"/>
  <c r="V9"/>
  <c r="X7"/>
  <c r="V7"/>
  <c r="J9"/>
  <c r="J7"/>
  <c r="L4"/>
  <c r="O9"/>
  <c r="O8"/>
  <c r="O7"/>
  <c r="O6"/>
  <c r="O5"/>
  <c r="Q4"/>
  <c r="T9"/>
  <c r="T8"/>
  <c r="T7"/>
  <c r="T5"/>
  <c r="V4"/>
  <c r="Y9"/>
  <c r="Y7"/>
  <c r="P24" i="3"/>
  <c r="X14" i="1"/>
  <c r="X52" s="1"/>
  <c r="W14"/>
  <c r="W52" s="1"/>
  <c r="R14"/>
  <c r="R52" s="1"/>
  <c r="S14"/>
  <c r="S52" s="1"/>
  <c r="J52" i="5"/>
  <c r="J51"/>
  <c r="M25"/>
  <c r="O35"/>
  <c r="O25" s="1"/>
  <c r="O43" s="1"/>
  <c r="M42"/>
  <c r="M40" s="1"/>
  <c r="O8"/>
  <c r="O17"/>
  <c r="G9"/>
  <c r="O36"/>
  <c r="O42"/>
  <c r="O40" s="1"/>
  <c r="O6"/>
  <c r="O11"/>
  <c r="K9" i="4"/>
  <c r="K11" s="1"/>
  <c r="K12" s="1"/>
  <c r="C30" i="3"/>
  <c r="D30" s="1"/>
  <c r="E30" s="1"/>
  <c r="F30" s="1"/>
  <c r="G30" s="1"/>
  <c r="H30" s="1"/>
  <c r="I30" s="1"/>
  <c r="J30" s="1"/>
  <c r="K30" s="1"/>
  <c r="L30" s="1"/>
  <c r="M30" s="1"/>
  <c r="D19"/>
  <c r="D28"/>
  <c r="F28"/>
  <c r="F19"/>
  <c r="H28"/>
  <c r="H19"/>
  <c r="J28"/>
  <c r="J19"/>
  <c r="L28"/>
  <c r="L19"/>
  <c r="N18"/>
  <c r="K4" i="1" s="1"/>
  <c r="I4" s="1"/>
  <c r="C28" i="3"/>
  <c r="C19"/>
  <c r="E28"/>
  <c r="E19"/>
  <c r="G28"/>
  <c r="G19"/>
  <c r="I28"/>
  <c r="I19"/>
  <c r="K28"/>
  <c r="K19"/>
  <c r="N7"/>
  <c r="N8"/>
  <c r="C12"/>
  <c r="E12"/>
  <c r="G12"/>
  <c r="I12"/>
  <c r="K12"/>
  <c r="M12"/>
  <c r="Q27"/>
  <c r="Q22"/>
  <c r="Z8" i="1" s="1"/>
  <c r="W8" s="1"/>
  <c r="M14" i="3"/>
  <c r="Q28"/>
  <c r="Q19"/>
  <c r="Z5" i="1" s="1"/>
  <c r="W5" s="1"/>
  <c r="Q15" i="3"/>
  <c r="Q29" s="1"/>
  <c r="D20"/>
  <c r="H20"/>
  <c r="L20"/>
  <c r="P20"/>
  <c r="B32"/>
  <c r="F32"/>
  <c r="J32"/>
  <c r="C32"/>
  <c r="C20"/>
  <c r="E32"/>
  <c r="E20"/>
  <c r="G32"/>
  <c r="G20"/>
  <c r="I32"/>
  <c r="I20"/>
  <c r="K32"/>
  <c r="K20"/>
  <c r="M32"/>
  <c r="M20"/>
  <c r="Q32"/>
  <c r="Q20"/>
  <c r="Z6" i="1" s="1"/>
  <c r="W6" s="1"/>
  <c r="B12" i="3"/>
  <c r="D12"/>
  <c r="F12"/>
  <c r="H12"/>
  <c r="J12"/>
  <c r="L12"/>
  <c r="B14"/>
  <c r="G45" i="1" l="1"/>
  <c r="G51"/>
  <c r="L10"/>
  <c r="L11" s="1"/>
  <c r="E60"/>
  <c r="N20" i="3"/>
  <c r="K6" i="1" s="1"/>
  <c r="Y6"/>
  <c r="Y10" s="1"/>
  <c r="Y11" s="1"/>
  <c r="Y8"/>
  <c r="G4"/>
  <c r="X5"/>
  <c r="X6"/>
  <c r="X8"/>
  <c r="J4"/>
  <c r="P17" i="3"/>
  <c r="P31" s="1"/>
  <c r="U6" i="1"/>
  <c r="Y5"/>
  <c r="V5"/>
  <c r="V6"/>
  <c r="V8"/>
  <c r="W10"/>
  <c r="W11" s="1"/>
  <c r="H4"/>
  <c r="O10"/>
  <c r="O11" s="1"/>
  <c r="W13"/>
  <c r="W15" s="1"/>
  <c r="W45" s="1"/>
  <c r="W46" s="1"/>
  <c r="Y14"/>
  <c r="Y52" s="1"/>
  <c r="T14"/>
  <c r="T52" s="1"/>
  <c r="M43" i="5"/>
  <c r="M44" s="1"/>
  <c r="G24"/>
  <c r="G44" s="1"/>
  <c r="O9"/>
  <c r="O24" s="1"/>
  <c r="O44" s="1"/>
  <c r="B28" i="3"/>
  <c r="B19"/>
  <c r="J27"/>
  <c r="J22"/>
  <c r="J17" s="1"/>
  <c r="J15"/>
  <c r="J29" s="1"/>
  <c r="F27"/>
  <c r="F22"/>
  <c r="F17" s="1"/>
  <c r="F15"/>
  <c r="F29" s="1"/>
  <c r="B27"/>
  <c r="B22"/>
  <c r="B15"/>
  <c r="B29" s="1"/>
  <c r="Q17"/>
  <c r="O17"/>
  <c r="M28"/>
  <c r="M19"/>
  <c r="N14"/>
  <c r="Q24"/>
  <c r="O24"/>
  <c r="K27"/>
  <c r="K22"/>
  <c r="K15"/>
  <c r="K29" s="1"/>
  <c r="G27"/>
  <c r="G22"/>
  <c r="G15"/>
  <c r="G29" s="1"/>
  <c r="C27"/>
  <c r="C22"/>
  <c r="C15"/>
  <c r="C29" s="1"/>
  <c r="K17"/>
  <c r="G17"/>
  <c r="C17"/>
  <c r="N30"/>
  <c r="L15"/>
  <c r="L29" s="1"/>
  <c r="L27"/>
  <c r="L22"/>
  <c r="L17" s="1"/>
  <c r="H15"/>
  <c r="H29" s="1"/>
  <c r="H27"/>
  <c r="H24" s="1"/>
  <c r="H22"/>
  <c r="H17" s="1"/>
  <c r="D15"/>
  <c r="D29" s="1"/>
  <c r="D27"/>
  <c r="D22"/>
  <c r="D17" s="1"/>
  <c r="N32"/>
  <c r="M27"/>
  <c r="M22"/>
  <c r="N12"/>
  <c r="M15"/>
  <c r="I27"/>
  <c r="I22"/>
  <c r="I17" s="1"/>
  <c r="I15"/>
  <c r="I29" s="1"/>
  <c r="E27"/>
  <c r="E22"/>
  <c r="E17" s="1"/>
  <c r="E15"/>
  <c r="E29" s="1"/>
  <c r="V10" i="1" l="1"/>
  <c r="V11" s="1"/>
  <c r="F60"/>
  <c r="W48"/>
  <c r="W49" s="1"/>
  <c r="N27" i="3"/>
  <c r="R6" i="1"/>
  <c r="R10" s="1"/>
  <c r="R11" s="1"/>
  <c r="R13" s="1"/>
  <c r="R15" s="1"/>
  <c r="R45" s="1"/>
  <c r="Q6"/>
  <c r="Q10" s="1"/>
  <c r="S6"/>
  <c r="S10" s="1"/>
  <c r="S11" s="1"/>
  <c r="S13" s="1"/>
  <c r="S15" s="1"/>
  <c r="S45" s="1"/>
  <c r="S46" s="1"/>
  <c r="T6"/>
  <c r="T10" s="1"/>
  <c r="T11" s="1"/>
  <c r="X10"/>
  <c r="X11" s="1"/>
  <c r="X13" s="1"/>
  <c r="X15" s="1"/>
  <c r="X45" s="1"/>
  <c r="X46" s="1"/>
  <c r="H6"/>
  <c r="G6"/>
  <c r="I6"/>
  <c r="J6"/>
  <c r="H31" i="3"/>
  <c r="Q31"/>
  <c r="Y13" i="1"/>
  <c r="Y15" s="1"/>
  <c r="Y45" s="1"/>
  <c r="V14"/>
  <c r="Z12"/>
  <c r="X48"/>
  <c r="X49" s="1"/>
  <c r="T13"/>
  <c r="T15" s="1"/>
  <c r="T45" s="1"/>
  <c r="T46" s="1"/>
  <c r="Q14"/>
  <c r="U12"/>
  <c r="G52" i="5"/>
  <c r="O52"/>
  <c r="O51"/>
  <c r="M52"/>
  <c r="M51"/>
  <c r="E24" i="3"/>
  <c r="E31" s="1"/>
  <c r="M29"/>
  <c r="M24" s="1"/>
  <c r="N15"/>
  <c r="D24"/>
  <c r="D31" s="1"/>
  <c r="L24"/>
  <c r="L31" s="1"/>
  <c r="C24"/>
  <c r="C31" s="1"/>
  <c r="K24"/>
  <c r="M17"/>
  <c r="O31"/>
  <c r="N29"/>
  <c r="B24"/>
  <c r="J24"/>
  <c r="J31" s="1"/>
  <c r="N28"/>
  <c r="I24"/>
  <c r="I31" s="1"/>
  <c r="K31"/>
  <c r="G24"/>
  <c r="G31" s="1"/>
  <c r="N22"/>
  <c r="K8" i="1" s="1"/>
  <c r="F24" i="3"/>
  <c r="F31" s="1"/>
  <c r="N19"/>
  <c r="K5" i="1" s="1"/>
  <c r="B17" i="3"/>
  <c r="G48" i="1" l="1"/>
  <c r="R48"/>
  <c r="R49" s="1"/>
  <c r="R46"/>
  <c r="G60"/>
  <c r="Y48"/>
  <c r="Y49" s="1"/>
  <c r="Y46"/>
  <c r="S48"/>
  <c r="S49" s="1"/>
  <c r="Z10"/>
  <c r="H5"/>
  <c r="G5"/>
  <c r="J5"/>
  <c r="I5"/>
  <c r="H8"/>
  <c r="G8"/>
  <c r="I8"/>
  <c r="J8"/>
  <c r="Q11"/>
  <c r="U10"/>
  <c r="Z11"/>
  <c r="V13"/>
  <c r="V15" s="1"/>
  <c r="V52"/>
  <c r="Z14"/>
  <c r="Z52" s="1"/>
  <c r="Q52"/>
  <c r="U14"/>
  <c r="U52" s="1"/>
  <c r="T48"/>
  <c r="T49" s="1"/>
  <c r="N17" i="3"/>
  <c r="B31"/>
  <c r="N24"/>
  <c r="M31"/>
  <c r="H48" i="1" l="1"/>
  <c r="I10"/>
  <c r="I11" s="1"/>
  <c r="H60"/>
  <c r="Z15"/>
  <c r="V45"/>
  <c r="V46" s="1"/>
  <c r="G10"/>
  <c r="Z13"/>
  <c r="Q13"/>
  <c r="U11"/>
  <c r="J10"/>
  <c r="J11" s="1"/>
  <c r="H10"/>
  <c r="H11" s="1"/>
  <c r="N31" i="3"/>
  <c r="I60" i="1" l="1"/>
  <c r="V48"/>
  <c r="Z45"/>
  <c r="Z46" s="1"/>
  <c r="U13"/>
  <c r="Q15"/>
  <c r="G11"/>
  <c r="K10"/>
  <c r="Z48" l="1"/>
  <c r="Z49" s="1"/>
  <c r="V49"/>
  <c r="J60"/>
  <c r="U15"/>
  <c r="Q45"/>
  <c r="Q49" l="1"/>
  <c r="Q46"/>
  <c r="K60"/>
  <c r="U45"/>
  <c r="U46" s="1"/>
  <c r="L60" l="1"/>
  <c r="U48"/>
  <c r="U49" s="1"/>
  <c r="M60" l="1"/>
  <c r="B43"/>
  <c r="N60" l="1"/>
  <c r="D43"/>
  <c r="C43"/>
  <c r="O60" l="1"/>
  <c r="E10"/>
  <c r="D10"/>
  <c r="C10"/>
  <c r="P60" l="1"/>
  <c r="F7"/>
  <c r="D11"/>
  <c r="E11"/>
  <c r="C11"/>
  <c r="E43"/>
  <c r="F43" s="1"/>
  <c r="D51" l="1"/>
  <c r="C51"/>
  <c r="E12"/>
  <c r="E14" s="1"/>
  <c r="E52" s="1"/>
  <c r="E51"/>
  <c r="F10"/>
  <c r="G43"/>
  <c r="C12"/>
  <c r="D12"/>
  <c r="D14" s="1"/>
  <c r="D52" s="1"/>
  <c r="F4"/>
  <c r="C14" l="1"/>
  <c r="C52" s="1"/>
  <c r="F12"/>
  <c r="D13"/>
  <c r="D15" s="1"/>
  <c r="D45" s="1"/>
  <c r="D48" s="1"/>
  <c r="D49" s="1"/>
  <c r="C13"/>
  <c r="G13"/>
  <c r="F11"/>
  <c r="D46"/>
  <c r="B51"/>
  <c r="E13"/>
  <c r="E15" s="1"/>
  <c r="E45" s="1"/>
  <c r="C15" l="1"/>
  <c r="C45" s="1"/>
  <c r="E46"/>
  <c r="E49"/>
  <c r="G15"/>
  <c r="I43"/>
  <c r="G49" l="1"/>
  <c r="G46"/>
  <c r="C49"/>
  <c r="C46"/>
  <c r="J43"/>
  <c r="G52"/>
  <c r="B15"/>
  <c r="B45" s="1"/>
  <c r="F13"/>
  <c r="F14"/>
  <c r="F48" l="1"/>
  <c r="B48"/>
  <c r="F15"/>
  <c r="M43"/>
  <c r="N43"/>
  <c r="O43"/>
  <c r="F51"/>
  <c r="F52"/>
  <c r="I14"/>
  <c r="H43"/>
  <c r="K43" s="1"/>
  <c r="H51" l="1"/>
  <c r="H13"/>
  <c r="K11"/>
  <c r="L43"/>
  <c r="P43" s="1"/>
  <c r="P10"/>
  <c r="I13"/>
  <c r="I15" s="1"/>
  <c r="J14"/>
  <c r="B46"/>
  <c r="F45"/>
  <c r="F46" s="1"/>
  <c r="N14" l="1"/>
  <c r="L13"/>
  <c r="P11"/>
  <c r="I52"/>
  <c r="I51"/>
  <c r="J13"/>
  <c r="J15" s="1"/>
  <c r="H14"/>
  <c r="F49"/>
  <c r="B49"/>
  <c r="O14"/>
  <c r="I45"/>
  <c r="I46" s="1"/>
  <c r="M14"/>
  <c r="O13" l="1"/>
  <c r="O15" s="1"/>
  <c r="N13"/>
  <c r="N15" s="1"/>
  <c r="N45" s="1"/>
  <c r="N46" s="1"/>
  <c r="J45"/>
  <c r="K14"/>
  <c r="H52"/>
  <c r="K13"/>
  <c r="M13"/>
  <c r="M15" s="1"/>
  <c r="P12"/>
  <c r="L14"/>
  <c r="P14" s="1"/>
  <c r="H15"/>
  <c r="I48"/>
  <c r="I49" s="1"/>
  <c r="J51"/>
  <c r="J52"/>
  <c r="J48" l="1"/>
  <c r="J49" s="1"/>
  <c r="J46"/>
  <c r="H46"/>
  <c r="K45"/>
  <c r="K46" s="1"/>
  <c r="M45"/>
  <c r="L51"/>
  <c r="L52"/>
  <c r="L15"/>
  <c r="L45" s="1"/>
  <c r="N48"/>
  <c r="N49" s="1"/>
  <c r="M52"/>
  <c r="M51"/>
  <c r="N52"/>
  <c r="N51"/>
  <c r="P13"/>
  <c r="K51"/>
  <c r="K52"/>
  <c r="K15"/>
  <c r="O51"/>
  <c r="O52"/>
  <c r="O45"/>
  <c r="O46" s="1"/>
  <c r="L46" l="1"/>
  <c r="L48"/>
  <c r="M48"/>
  <c r="M49" s="1"/>
  <c r="M46"/>
  <c r="O48"/>
  <c r="O49" s="1"/>
  <c r="H49"/>
  <c r="P15"/>
  <c r="P51"/>
  <c r="P52"/>
  <c r="L49" l="1"/>
  <c r="P48"/>
  <c r="K48"/>
  <c r="K49" s="1"/>
  <c r="P45"/>
  <c r="P46" s="1"/>
  <c r="P49" l="1"/>
</calcChain>
</file>

<file path=xl/comments1.xml><?xml version="1.0" encoding="utf-8"?>
<comments xmlns="http://schemas.openxmlformats.org/spreadsheetml/2006/main">
  <authors>
    <author>ANN</author>
  </authors>
  <commentList>
    <comment ref="A11" authorId="0">
      <text>
        <r>
          <rPr>
            <b/>
            <sz val="8"/>
            <color indexed="81"/>
            <rFont val="Tahoma"/>
            <family val="2"/>
            <charset val="204"/>
          </rPr>
          <t>ANN:</t>
        </r>
        <r>
          <rPr>
            <sz val="8"/>
            <color indexed="81"/>
            <rFont val="Tahoma"/>
            <family val="2"/>
            <charset val="204"/>
          </rPr>
          <t xml:space="preserve">
НДС не облагается</t>
        </r>
      </text>
    </comment>
  </commentList>
</comments>
</file>

<file path=xl/comments2.xml><?xml version="1.0" encoding="utf-8"?>
<comments xmlns="http://schemas.openxmlformats.org/spreadsheetml/2006/main">
  <authors>
    <author>Богер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>Богер:</t>
        </r>
        <r>
          <rPr>
            <sz val="9"/>
            <color indexed="81"/>
            <rFont val="Tahoma"/>
            <charset val="1"/>
          </rPr>
          <t xml:space="preserve">
Клиенты, которые платят QR кодом </t>
        </r>
      </text>
    </comment>
    <comment ref="A5" authorId="0">
      <text>
        <r>
          <rPr>
            <b/>
            <sz val="9"/>
            <color indexed="81"/>
            <rFont val="Tahoma"/>
            <charset val="1"/>
          </rPr>
          <t>Богер:</t>
        </r>
        <r>
          <rPr>
            <sz val="9"/>
            <color indexed="81"/>
            <rFont val="Tahoma"/>
            <charset val="1"/>
          </rPr>
          <t xml:space="preserve">
клиенты, прошедшие идентификацию - клиенты банка</t>
        </r>
      </text>
    </comment>
    <comment ref="A15" authorId="0">
      <text>
        <r>
          <rPr>
            <b/>
            <sz val="9"/>
            <color indexed="81"/>
            <rFont val="Tahoma"/>
            <charset val="1"/>
          </rPr>
          <t>Богер:</t>
        </r>
        <r>
          <rPr>
            <sz val="9"/>
            <color indexed="81"/>
            <rFont val="Tahoma"/>
            <charset val="1"/>
          </rPr>
          <t xml:space="preserve">
Вкладов может быть гораздо больше - измеряться в млрд руб, мы условно приравниваем к порфтелю овердрафтов</t>
        </r>
      </text>
    </comment>
    <comment ref="A20" authorId="0">
      <text>
        <r>
          <rPr>
            <b/>
            <sz val="9"/>
            <color indexed="81"/>
            <rFont val="Tahoma"/>
            <charset val="1"/>
          </rPr>
          <t>Богер:</t>
        </r>
        <r>
          <rPr>
            <sz val="9"/>
            <color indexed="81"/>
            <rFont val="Tahoma"/>
            <charset val="1"/>
          </rPr>
          <t xml:space="preserve">
При стоимости для ВИнЛаб 0,9% и РКО в РКБ</t>
        </r>
      </text>
    </comment>
    <comment ref="A30" authorId="0">
      <text>
        <r>
          <rPr>
            <b/>
            <sz val="9"/>
            <color indexed="81"/>
            <rFont val="Tahoma"/>
            <charset val="1"/>
          </rPr>
          <t>Богер:</t>
        </r>
        <r>
          <rPr>
            <sz val="9"/>
            <color indexed="81"/>
            <rFont val="Tahoma"/>
            <charset val="1"/>
          </rPr>
          <t xml:space="preserve">
Продавцам ВинЛаб за каждого клиента</t>
        </r>
      </text>
    </comment>
  </commentList>
</comments>
</file>

<file path=xl/comments3.xml><?xml version="1.0" encoding="utf-8"?>
<comments xmlns="http://schemas.openxmlformats.org/spreadsheetml/2006/main">
  <authors>
    <author>Шингарев Евгений Александрович</author>
  </authors>
  <commentList>
    <comment ref="J23" authorId="0">
      <text>
        <r>
          <rPr>
            <b/>
            <sz val="9"/>
            <color indexed="81"/>
            <rFont val="Tahoma"/>
            <family val="2"/>
            <charset val="204"/>
          </rPr>
          <t>Шингарев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Получена скидка на поддержку в размере 3 334 508,69руб</t>
        </r>
      </text>
    </comment>
    <comment ref="M23" authorId="0">
      <text>
        <r>
          <rPr>
            <b/>
            <sz val="9"/>
            <color indexed="81"/>
            <rFont val="Tahoma"/>
            <family val="2"/>
            <charset val="204"/>
          </rPr>
          <t>Шингарев Евгений Александрович:</t>
        </r>
        <r>
          <rPr>
            <sz val="9"/>
            <color indexed="81"/>
            <rFont val="Tahoma"/>
            <family val="2"/>
            <charset val="204"/>
          </rPr>
          <t xml:space="preserve">
Полная стоимость поддержки ч учетом приобретённых лицензий в период 2020-2022 года</t>
        </r>
      </text>
    </comment>
  </commentList>
</comments>
</file>

<file path=xl/sharedStrings.xml><?xml version="1.0" encoding="utf-8"?>
<sst xmlns="http://schemas.openxmlformats.org/spreadsheetml/2006/main" count="427" uniqueCount="253">
  <si>
    <t>Показатели</t>
  </si>
  <si>
    <t>1Q 2020</t>
  </si>
  <si>
    <t>2Q 2020</t>
  </si>
  <si>
    <t>3Q 2020</t>
  </si>
  <si>
    <t>4Q 2020</t>
  </si>
  <si>
    <t>Итого 2020</t>
  </si>
  <si>
    <t>1Q 2021</t>
  </si>
  <si>
    <t>2Q 2021</t>
  </si>
  <si>
    <t>3Q 2021</t>
  </si>
  <si>
    <t>4Q 2021</t>
  </si>
  <si>
    <t>Итого 2021</t>
  </si>
  <si>
    <t>1Q 2022</t>
  </si>
  <si>
    <t>2Q 2022</t>
  </si>
  <si>
    <t>3Q 2022</t>
  </si>
  <si>
    <t>4Q 2022</t>
  </si>
  <si>
    <t>Итого 2022</t>
  </si>
  <si>
    <t>факт</t>
  </si>
  <si>
    <t>план</t>
  </si>
  <si>
    <t>Выручка Брутто, руб</t>
  </si>
  <si>
    <t>Выручка Нетто, руб</t>
  </si>
  <si>
    <t>Себестоимость, руб.</t>
  </si>
  <si>
    <t>Валовый доход (Front), руб.</t>
  </si>
  <si>
    <t>Ретро</t>
  </si>
  <si>
    <t>Валовый доход F+B, руб.</t>
  </si>
  <si>
    <t>ТНЦ Front, %</t>
  </si>
  <si>
    <t>ТНЦ Back, %</t>
  </si>
  <si>
    <t>ТНЦ Back F+B, %</t>
  </si>
  <si>
    <t>Сервисные SMS</t>
  </si>
  <si>
    <t>SEO</t>
  </si>
  <si>
    <t>ASO</t>
  </si>
  <si>
    <t>Хостинг</t>
  </si>
  <si>
    <t xml:space="preserve">Оплата Контакт-центра </t>
  </si>
  <si>
    <t>Аренда кассы</t>
  </si>
  <si>
    <t>Эквайринг (5% от всех чеков)</t>
  </si>
  <si>
    <t>Отправка электронного чека через OFD (5% от всех чеков)</t>
  </si>
  <si>
    <t>Доставка (5% от всех чеков)</t>
  </si>
  <si>
    <t>Маркетинг (3% от Выручка Брутто)</t>
  </si>
  <si>
    <t>ФОТ+Налоги с ФОТ (АУП Отдел E-com)</t>
  </si>
  <si>
    <t>ФОТ+Налоги с ФОТ (АУП Отдел E-com): проект развития</t>
  </si>
  <si>
    <t>Поддержка ПО Hybris</t>
  </si>
  <si>
    <t>Поддержка ПО Виртуализация</t>
  </si>
  <si>
    <t>Канал связи</t>
  </si>
  <si>
    <t>Аренда серверного оборудования</t>
  </si>
  <si>
    <t>Итого расходы</t>
  </si>
  <si>
    <t>Внереализационные доходы (Компенсация доставки покупателем)</t>
  </si>
  <si>
    <t>EBITDA</t>
  </si>
  <si>
    <t>EBITDA margin, %</t>
  </si>
  <si>
    <t>EBIT</t>
  </si>
  <si>
    <t>EBIT margin, %</t>
  </si>
  <si>
    <t>Справочно: Точка Безубыточности (ТБУ)</t>
  </si>
  <si>
    <t>Справочно: Точка Безубыточности (ТБУ) (EBIT)</t>
  </si>
  <si>
    <t>CAPEX Software 2018: Приобретение, кастомизация ПО</t>
  </si>
  <si>
    <t>CAPEX Hardware 2018: Лизинг оборудования 5 лет</t>
  </si>
  <si>
    <t>CAPEX Software 2020: Кастомизация ПО</t>
  </si>
  <si>
    <t>CAPEX Hardware 2020:</t>
  </si>
  <si>
    <t>CAPEX итого накопительным итогом:</t>
  </si>
  <si>
    <t>CAPEX итого накопительным итогом в месяц на 5 лет, без НДС</t>
  </si>
  <si>
    <t>Год</t>
  </si>
  <si>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</si>
  <si>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</si>
  <si>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</si>
  <si>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</si>
  <si>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</si>
  <si>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</si>
  <si>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</si>
  <si>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</si>
  <si>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</si>
  <si>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</si>
  <si>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</si>
  <si>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</si>
  <si>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</si>
  <si>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активированных клиентов</t>
  </si>
  <si>
    <t>остатки на банковском счете - сред. 100 руб. средний показатель в месяц</t>
  </si>
  <si>
    <t>транзакции по картам (оплата коммунальных услуг, переводы) средний показатель в месяц</t>
  </si>
  <si>
    <t>транзакции по Q в ВИНЛАБ в месяц (год)</t>
  </si>
  <si>
    <t>транзакции по Q в Родстор в месяц (год)</t>
  </si>
  <si>
    <t>транзакции Q в прочих сетях</t>
  </si>
  <si>
    <t>Объемы кредитных операций, т.ч.</t>
  </si>
  <si>
    <t>Запаска (овердрафт - средний чек) - 5000 рублей</t>
  </si>
  <si>
    <t>Объемы привлеченных депозитов т.ч.</t>
  </si>
  <si>
    <t>Копилка - сберсчет</t>
  </si>
  <si>
    <t>Вклады</t>
  </si>
  <si>
    <t>Итого доходы</t>
  </si>
  <si>
    <t>Q прочие</t>
  </si>
  <si>
    <t>единовременные</t>
  </si>
  <si>
    <t>Прибыль до налогообложения</t>
  </si>
  <si>
    <t>экономия группы на эквайринг</t>
  </si>
  <si>
    <t>Расходы на пополнение карт</t>
  </si>
  <si>
    <t>Диапазон, запросов / операций в месяц</t>
  </si>
  <si>
    <t>Стоимость, руб. (НДС не облагается согласно ст. 149 НК РФ)</t>
  </si>
  <si>
    <t xml:space="preserve">Количество цифровых карт (одна карта на пользователя), ввести вручную </t>
  </si>
  <si>
    <t>Наименование работ/услуг</t>
  </si>
  <si>
    <t>от</t>
  </si>
  <si>
    <t>до</t>
  </si>
  <si>
    <t>Фиксировано</t>
  </si>
  <si>
    <t>За операцию из фиксированной суммы</t>
  </si>
  <si>
    <t>За запрос / операцию свыше нижней границы диапазона</t>
  </si>
  <si>
    <t>Количество операций пополнения карт в месяц</t>
  </si>
  <si>
    <t>1.</t>
  </si>
  <si>
    <t>Обслуживание всех авторизационных запросов с POS - терминалов, банкоматов, по телефону, в сети интернет по картам Банка и сторонних эмитентов, аутентификационных запросов 3-D Secure, сообщений в рамках Технологии токенизации</t>
  </si>
  <si>
    <t>Себестоимость операции Card2Card, руб.</t>
  </si>
  <si>
    <t>Себестоимость операции Card2Card (за 3 операции в месяц), руб.</t>
  </si>
  <si>
    <t>Стоимость ведения базы данных карт (за одну карту в месяц), руб.</t>
  </si>
  <si>
    <t>Претензионная работа,Фродмониторинг,SMS информирование</t>
  </si>
  <si>
    <t>Общая стоимость, руб.</t>
  </si>
  <si>
    <t>Ежемесячная поддержка Ekassir (ВинЛаб) (расширенная), руб.</t>
  </si>
  <si>
    <t>ИТОГО, руб.</t>
  </si>
  <si>
    <t>Общие расходы</t>
  </si>
  <si>
    <t>-</t>
  </si>
  <si>
    <t>2.</t>
  </si>
  <si>
    <t>Сбор, обработка и передача информации о финансовых внутрибанковских операциях, проведенных с использованием POS - терминалов, банкоматов Банка, по телефону по картам Банка</t>
  </si>
  <si>
    <t>3.</t>
  </si>
  <si>
    <t>Сбор, обработка и передача информации о межбанковских финансовых операциях, проведенных с использованием POS - терминалов, банкоматов, по телефону, в сети интернет по картам Банка и сторонних эмитентов</t>
  </si>
  <si>
    <t>4. Обслуживание эмиссионной программы</t>
  </si>
  <si>
    <t>№</t>
  </si>
  <si>
    <t>Единица измерения</t>
  </si>
  <si>
    <t>Стоимость, руб.</t>
  </si>
  <si>
    <t>(НДС не облагается согласно ст. 149 НК РФ)</t>
  </si>
  <si>
    <r>
      <t xml:space="preserve">Поддержание баз данных карт в программно-аппаратном комплексе МультиКарты </t>
    </r>
    <r>
      <rPr>
        <vertAlign val="superscript"/>
        <sz val="8"/>
        <color rgb="FF000000"/>
        <rFont val="Arial"/>
        <family val="2"/>
        <charset val="204"/>
      </rPr>
      <t>4</t>
    </r>
  </si>
  <si>
    <t>За карту свыше нижней границы диапазона</t>
  </si>
  <si>
    <t>От</t>
  </si>
  <si>
    <t>До</t>
  </si>
  <si>
    <t>Ежемесячно</t>
  </si>
  <si>
    <t>Сбор, обработка и передача на E-mail держателей Карт Банка информации по операциям держателей Карт Банка</t>
  </si>
  <si>
    <t>Сообщение</t>
  </si>
  <si>
    <t>3.1.</t>
  </si>
  <si>
    <t>Сбор, обработка и передача до операционных центров российских Операторов связи информации по операциям держателей Карт Банка (посредством SMS — сообщений)</t>
  </si>
  <si>
    <t>3.2.</t>
  </si>
  <si>
    <t>Сбор, обработка и передача до операционных центров российских Операторов связи информации по операциям держателей Карт Банка (для мобильного приложения Viber)</t>
  </si>
  <si>
    <t>3.3.</t>
  </si>
  <si>
    <t>Сбор, обработка и передача до операционных центров российских Операторов связи информационных сообщений Банка (для мобильного приложения Viber)</t>
  </si>
  <si>
    <t>4.</t>
  </si>
  <si>
    <t>Подготовка отчетов по запросам Банка</t>
  </si>
  <si>
    <t>Отчет</t>
  </si>
  <si>
    <t>По Смете</t>
  </si>
  <si>
    <t>5.</t>
  </si>
  <si>
    <t>Идентификация пользователя рабочего места системы удаленного доступа к операциям по карточным счетам (1-й уровень доступа)</t>
  </si>
  <si>
    <t>Пользователь / ежемесячно</t>
  </si>
  <si>
    <t>6.</t>
  </si>
  <si>
    <t>Идентификация пользователя рабочего места системы удаленного доступа к операциям по карточным счетам (2-й уровень доступа)</t>
  </si>
  <si>
    <t>7.</t>
  </si>
  <si>
    <r>
      <t>Абонентская плата за услуги персонализационного центра МультиКарты по учету и хранению заготовок</t>
    </r>
    <r>
      <rPr>
        <vertAlign val="superscript"/>
        <sz val="8"/>
        <color rgb="FF000000"/>
        <rFont val="Arial"/>
        <family val="2"/>
        <charset val="204"/>
      </rPr>
      <t>5</t>
    </r>
  </si>
  <si>
    <t>8.</t>
  </si>
  <si>
    <r>
      <t xml:space="preserve">Персонализация карт с магнитной полосой </t>
    </r>
    <r>
      <rPr>
        <vertAlign val="superscript"/>
        <sz val="8"/>
        <color rgb="FF000000"/>
        <rFont val="Arial"/>
        <family val="2"/>
        <charset val="204"/>
      </rPr>
      <t>5</t>
    </r>
  </si>
  <si>
    <t>Карта</t>
  </si>
  <si>
    <t>От 1 до 500 карт</t>
  </si>
  <si>
    <t>501 - 1 500 карт</t>
  </si>
  <si>
    <t>1 501 - 5 000 карт</t>
  </si>
  <si>
    <t>Свыше 5 000 карт</t>
  </si>
  <si>
    <t>9.</t>
  </si>
  <si>
    <t>Персонализация карт стандарта EMV '</t>
  </si>
  <si>
    <t>10.</t>
  </si>
  <si>
    <t>Персонализация карт с PayPass/PayWave</t>
  </si>
  <si>
    <t>11.</t>
  </si>
  <si>
    <r>
      <t xml:space="preserve">Изготовление PIN-конверта </t>
    </r>
    <r>
      <rPr>
        <vertAlign val="superscript"/>
        <sz val="8"/>
        <color rgb="FF000000"/>
        <rFont val="Arial"/>
        <family val="2"/>
        <charset val="204"/>
      </rPr>
      <t>5</t>
    </r>
  </si>
  <si>
    <t>PIN - конверт</t>
  </si>
  <si>
    <t>12.</t>
  </si>
  <si>
    <r>
      <t>Надбавка к стоимости услуг МультиКарты по п.п. 4.8, 4.9., 4.10. Тарифов (за срочную персонализацию карт)</t>
    </r>
    <r>
      <rPr>
        <vertAlign val="superscript"/>
        <sz val="8"/>
        <color rgb="FF000000"/>
        <rFont val="Arial"/>
        <family val="2"/>
        <charset val="204"/>
      </rPr>
      <t>5</t>
    </r>
  </si>
  <si>
    <t>13.</t>
  </si>
  <si>
    <t>Смена PIN-кода по Карте Банка в Банкомате Банка</t>
  </si>
  <si>
    <t>Запрос</t>
  </si>
  <si>
    <r>
      <t>4</t>
    </r>
    <r>
      <rPr>
        <sz val="8"/>
        <color rgb="FF000000"/>
        <rFont val="Arial"/>
        <family val="2"/>
        <charset val="204"/>
      </rPr>
      <t xml:space="preserve"> - Плата взимается за полный календарный месяц, начиная с месяца, следующего за получением подтверждения Платежных систем или соответствующего уведомления банка - спонсора об успешном прохождении тестов, за общее количество карт, не закрытых банком (независимо от их срока действия или состояния) и карт, с момента закрытия которых не прошел один месяц.</t>
    </r>
  </si>
  <si>
    <r>
      <t>5</t>
    </r>
    <r>
      <rPr>
        <sz val="8"/>
        <color rgb="FF000000"/>
        <rFont val="Arial"/>
        <family val="2"/>
        <charset val="204"/>
      </rPr>
      <t>-Доставка заготовок, изготовленных карт и PIN - конвертов осуществляется Банком своими силами и за свой счет.</t>
    </r>
  </si>
  <si>
    <t>Прочие услуги</t>
  </si>
  <si>
    <t>Наименование работ/ услуг *</t>
  </si>
  <si>
    <t>Стоимость, руб. (без учета НДС)</t>
  </si>
  <si>
    <t>Генерация и отправка PIN - кода в SMS - сообщении Держателям Карт Банка</t>
  </si>
  <si>
    <t>Операция</t>
  </si>
  <si>
    <t>Формирование и передача в Банк задания на персонализацию карт Банка в персонализационном бюро Банка</t>
  </si>
  <si>
    <t>Срочное формирование и передача в Банк задания на персонализацию карт Банка в персонализационном бюро Банка</t>
  </si>
  <si>
    <t>Пополнение карточного счета в банкоматной сети ВТБ</t>
  </si>
  <si>
    <t>Сумма</t>
  </si>
  <si>
    <t>Снятие наличных в банкоматной сети ВТБ</t>
  </si>
  <si>
    <t>Инвестиции</t>
  </si>
  <si>
    <t>Итого 2020-2022</t>
  </si>
  <si>
    <t>Приобретение лицензиий по итогу аудита SAP ERP</t>
  </si>
  <si>
    <t>Наименование программного обеспечения/ Name of software</t>
  </si>
  <si>
    <t>Единица
измерения/ Measurement unit</t>
  </si>
  <si>
    <t>Цена</t>
  </si>
  <si>
    <t>Количество</t>
  </si>
  <si>
    <t>SAP POS Data Management for Retail</t>
  </si>
  <si>
    <t>Revenues/выручка 66 000 000 RUN</t>
  </si>
  <si>
    <t>SAP Merchandising for Retail, first 5000 units</t>
  </si>
  <si>
    <t>СУБД MS SQL Server Enterprise Edition</t>
  </si>
  <si>
    <t>8% от приобретаемых лицензий</t>
  </si>
  <si>
    <t>Приобретение лицензий SAP ERP</t>
  </si>
  <si>
    <t>SAP Application Developer User</t>
  </si>
  <si>
    <t xml:space="preserve">SAP Application Professional User </t>
  </si>
  <si>
    <t xml:space="preserve">SAP Application Limited Professional User </t>
  </si>
  <si>
    <t>BA&amp;T SAP Business Objects BI, Edge Edition (user)</t>
  </si>
  <si>
    <t>Users</t>
  </si>
  <si>
    <t>SAP Retail Store User</t>
  </si>
  <si>
    <t>Revenues/выручка 69 300 000 RUN</t>
  </si>
  <si>
    <t>Восстановление поддержки SAP ERP</t>
  </si>
  <si>
    <t>Наименование услуги</t>
  </si>
  <si>
    <t>Восстановление поддержки</t>
  </si>
  <si>
    <t>Количество лет без поддержки</t>
  </si>
  <si>
    <t>Инвестиции в поддержку SAP ERP</t>
  </si>
  <si>
    <t>Поддержка программного продукта SAP ERP</t>
  </si>
  <si>
    <t>22% от стоимости приобретённых лицензий в год</t>
  </si>
  <si>
    <t>Итого инвестиции в программный продукт SAP ERP</t>
  </si>
  <si>
    <t>Приобретение лицензий SAP Hybris</t>
  </si>
  <si>
    <t xml:space="preserve">SAP Hybris Commerce - Core
Платформа электронной коммерции </t>
  </si>
  <si>
    <t>Revenues/330 Mio RUN</t>
  </si>
  <si>
    <t>SAP Hybris Customer Experience – Core
Управление веб контентом</t>
  </si>
  <si>
    <t>SAP Hybris Commerce, order management services – Core
Модуль управления заказами</t>
  </si>
  <si>
    <t>SAP Hybris Commerce, advanced personalization module - Core
Модуль расширенной персонализации</t>
  </si>
  <si>
    <t>SAP Hybris Marketing, data management, up to 50 units
Модуль управления данными</t>
  </si>
  <si>
    <t>Records/Записи</t>
  </si>
  <si>
    <t>SAP Hybris Marketing, segmentation option, up to 50 units
Модуль управления сегментацией</t>
  </si>
  <si>
    <t>SAP Hybris Marketing, acquisition option, up to 50 units
Модуль привлечения клиентов (Управление кампаниями)</t>
  </si>
  <si>
    <t>SAP Hybris Marketing, recommendation option, up to 50 units
Модуль управления рекомендациями и предложениями</t>
  </si>
  <si>
    <t>SAP HANA, Runtime edition for Applications &amp; SAP BW - New/Subsequent Partial 
База данных для hybris marketing</t>
  </si>
  <si>
    <t>15% от стоимости лицензий Marketing</t>
  </si>
  <si>
    <t>8% от лицензий Commerce</t>
  </si>
  <si>
    <t>Восстановление поддержки SAP Hybris</t>
  </si>
  <si>
    <t>Инвестиции в поддержку SAP Hybris</t>
  </si>
  <si>
    <t>Итиого инвестиций в программный продукт SAP Hybris</t>
  </si>
  <si>
    <t>Общие инвестиции в программные продукты</t>
  </si>
  <si>
    <t>Товарооборот, нетто (прогноз) общий</t>
  </si>
  <si>
    <t>Товарооборот, нетто (прогноз) offline</t>
  </si>
  <si>
    <t>Товарооборот, нетто (прогноз) online</t>
  </si>
  <si>
    <t>Валовый доход (прогноз) общий</t>
  </si>
  <si>
    <t>Валовый доход (прогноз) offline</t>
  </si>
  <si>
    <t>прогноз дохода через приложение</t>
  </si>
  <si>
    <t>Валовый доход (прогноз) online</t>
  </si>
  <si>
    <t>Отношение инвестиций к Товарообороту, нетто (прогноз)</t>
  </si>
  <si>
    <t>Отношение инвестиций к Валовому доходу (прогноз)</t>
  </si>
  <si>
    <t>1Q 2023</t>
  </si>
  <si>
    <t>2Q 2023</t>
  </si>
  <si>
    <t>3Q 2023</t>
  </si>
  <si>
    <t>4Q 2023</t>
  </si>
  <si>
    <t>Итого 2023</t>
  </si>
  <si>
    <t>1Q 2024</t>
  </si>
  <si>
    <t>3Q 2024</t>
  </si>
  <si>
    <t>4Q 2024</t>
  </si>
  <si>
    <t>Итого 2024</t>
  </si>
  <si>
    <t>в т.ч.:</t>
  </si>
  <si>
    <t>количество клиентов (установивших программу), в том числе:</t>
  </si>
  <si>
    <t>Единица измерения рубли</t>
  </si>
  <si>
    <t>Выплата % активированным клиентам за участие в  "копилке"</t>
  </si>
  <si>
    <t>Выплата % активированным клиентам за вклады</t>
  </si>
  <si>
    <t>Выплата Агентского вознаграждения продавцам ВинЛаб за каждого активированного клиента</t>
  </si>
  <si>
    <t>инвестиции в месяц не нарастающим итогом</t>
  </si>
  <si>
    <t>в месяц нарастающим итогом</t>
  </si>
  <si>
    <r>
      <t xml:space="preserve">Платежи </t>
    </r>
    <r>
      <rPr>
        <i/>
        <sz val="9"/>
        <color theme="1"/>
        <rFont val="Times New Roman"/>
        <family val="1"/>
        <charset val="204"/>
      </rPr>
      <t xml:space="preserve">(Доход 0,5% от объема транзакций клиентов по картам на оплату коммунальных услуг, переводы) </t>
    </r>
  </si>
  <si>
    <r>
      <t xml:space="preserve">Запаска </t>
    </r>
    <r>
      <rPr>
        <i/>
        <sz val="9"/>
        <color theme="1"/>
        <rFont val="Times New Roman"/>
        <family val="1"/>
        <charset val="204"/>
      </rPr>
      <t>(Доход 39% от объема кредитных операций активированных клиентов)</t>
    </r>
  </si>
  <si>
    <r>
      <t xml:space="preserve">Q транзакции в Винлаб и РодСтор </t>
    </r>
    <r>
      <rPr>
        <i/>
        <sz val="9"/>
        <rFont val="Times New Roman"/>
        <family val="1"/>
        <charset val="204"/>
      </rPr>
      <t>(Доход 0,85% от объема транзакций за покупку по картам в Винлаб и Родстор)</t>
    </r>
  </si>
  <si>
    <r>
      <t xml:space="preserve">Копилка-сберсчет </t>
    </r>
    <r>
      <rPr>
        <i/>
        <sz val="9"/>
        <rFont val="Times New Roman"/>
        <family val="1"/>
        <charset val="204"/>
      </rPr>
      <t>(Доход 1,5% от привлеченного депозита из расчета: депозит=1 тыс. руб. * кол-во активированных клиентов)</t>
    </r>
  </si>
  <si>
    <r>
      <t xml:space="preserve">Пассивы на остаток </t>
    </r>
    <r>
      <rPr>
        <i/>
        <sz val="9"/>
        <rFont val="Times New Roman"/>
        <family val="1"/>
        <charset val="204"/>
      </rPr>
      <t>(Доход 5,5% от остатков на банковском счете активированных клиентов из расчета остатка 100 руб. в мес. у одного активированного клиента * кол-во активированных клиентов)</t>
    </r>
  </si>
  <si>
    <r>
      <t xml:space="preserve">Сальдо резервов </t>
    </r>
    <r>
      <rPr>
        <i/>
        <sz val="9"/>
        <rFont val="Times New Roman"/>
        <family val="1"/>
        <charset val="204"/>
      </rPr>
      <t>(Расход 2% от объема кредитных операций активированных клиентов)</t>
    </r>
  </si>
  <si>
    <r>
      <t>За пополнение карт клиентами</t>
    </r>
    <r>
      <rPr>
        <i/>
        <sz val="9"/>
        <rFont val="Times New Roman"/>
        <family val="1"/>
        <charset val="204"/>
      </rPr>
      <t xml:space="preserve"> (расчет на листе "Расходы на пополнение карт")</t>
    </r>
  </si>
  <si>
    <t>CAPEX Software 2020: Приобретение ПО</t>
  </si>
</sst>
</file>

<file path=xl/styles.xml><?xml version="1.0" encoding="utf-8"?>
<styleSheet xmlns="http://schemas.openxmlformats.org/spreadsheetml/2006/main">
  <numFmts count="8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\ &quot;₽&quot;"/>
    <numFmt numFmtId="165" formatCode="_-* #,##0\ &quot;₽&quot;_-;\-* #,##0\ &quot;₽&quot;_-;_-* &quot;-&quot;??\ &quot;₽&quot;_-;_-@_-"/>
    <numFmt numFmtId="166" formatCode="_-* #,##0\ _₽_-;\-* #,##0\ _₽_-;_-* &quot;-&quot;??\ _₽_-;_-@_-"/>
    <numFmt numFmtId="167" formatCode="#,##0.00\ &quot;₽&quot;"/>
    <numFmt numFmtId="168" formatCode="[$-419]mmmm\ yyyy;@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rgb="FF000000"/>
      <name val="Courier New"/>
      <family val="3"/>
      <charset val="204"/>
    </font>
    <font>
      <sz val="8.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5"/>
      <color rgb="FF000000"/>
      <name val="Courier New"/>
      <family val="3"/>
      <charset val="204"/>
    </font>
    <font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8"/>
      <color rgb="FF12243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62">
    <xf numFmtId="0" fontId="0" fillId="0" borderId="0" xfId="0"/>
    <xf numFmtId="4" fontId="2" fillId="0" borderId="0" xfId="0" applyNumberFormat="1" applyFont="1"/>
    <xf numFmtId="4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0" xfId="0" applyNumberFormat="1" applyFont="1"/>
    <xf numFmtId="14" fontId="3" fillId="0" borderId="7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4" fontId="4" fillId="0" borderId="0" xfId="0" applyNumberFormat="1" applyFont="1" applyFill="1"/>
    <xf numFmtId="4" fontId="2" fillId="0" borderId="11" xfId="0" applyNumberFormat="1" applyFont="1" applyFill="1" applyBorder="1"/>
    <xf numFmtId="4" fontId="3" fillId="0" borderId="12" xfId="0" applyNumberFormat="1" applyFont="1" applyFill="1" applyBorder="1"/>
    <xf numFmtId="4" fontId="3" fillId="0" borderId="13" xfId="0" applyNumberFormat="1" applyFont="1" applyFill="1" applyBorder="1"/>
    <xf numFmtId="4" fontId="3" fillId="0" borderId="0" xfId="0" applyNumberFormat="1" applyFont="1" applyFill="1"/>
    <xf numFmtId="4" fontId="3" fillId="0" borderId="11" xfId="0" applyNumberFormat="1" applyFont="1" applyFill="1" applyBorder="1"/>
    <xf numFmtId="4" fontId="3" fillId="0" borderId="12" xfId="2" applyNumberFormat="1" applyFont="1" applyFill="1" applyBorder="1"/>
    <xf numFmtId="4" fontId="3" fillId="0" borderId="13" xfId="2" applyNumberFormat="1" applyFont="1" applyFill="1" applyBorder="1"/>
    <xf numFmtId="4" fontId="2" fillId="0" borderId="12" xfId="2" applyNumberFormat="1" applyFont="1" applyFill="1" applyBorder="1"/>
    <xf numFmtId="4" fontId="2" fillId="0" borderId="13" xfId="2" applyNumberFormat="1" applyFont="1" applyFill="1" applyBorder="1"/>
    <xf numFmtId="4" fontId="3" fillId="0" borderId="12" xfId="3" applyNumberFormat="1" applyFont="1" applyFill="1" applyBorder="1" applyAlignment="1">
      <alignment horizontal="right"/>
    </xf>
    <xf numFmtId="4" fontId="3" fillId="0" borderId="13" xfId="3" applyNumberFormat="1" applyFont="1" applyFill="1" applyBorder="1" applyAlignment="1">
      <alignment horizontal="right"/>
    </xf>
    <xf numFmtId="4" fontId="2" fillId="0" borderId="12" xfId="3" applyNumberFormat="1" applyFont="1" applyFill="1" applyBorder="1" applyAlignment="1">
      <alignment horizontal="right"/>
    </xf>
    <xf numFmtId="4" fontId="2" fillId="0" borderId="13" xfId="3" applyNumberFormat="1" applyFont="1" applyFill="1" applyBorder="1" applyAlignment="1">
      <alignment horizontal="right"/>
    </xf>
    <xf numFmtId="10" fontId="2" fillId="0" borderId="12" xfId="3" applyNumberFormat="1" applyFont="1" applyFill="1" applyBorder="1" applyAlignment="1">
      <alignment horizontal="right"/>
    </xf>
    <xf numFmtId="10" fontId="2" fillId="0" borderId="13" xfId="3" applyNumberFormat="1" applyFont="1" applyFill="1" applyBorder="1" applyAlignment="1">
      <alignment horizontal="right"/>
    </xf>
    <xf numFmtId="4" fontId="3" fillId="0" borderId="6" xfId="0" applyNumberFormat="1" applyFont="1" applyFill="1" applyBorder="1"/>
    <xf numFmtId="10" fontId="3" fillId="0" borderId="7" xfId="3" applyNumberFormat="1" applyFont="1" applyFill="1" applyBorder="1" applyAlignment="1">
      <alignment horizontal="right"/>
    </xf>
    <xf numFmtId="10" fontId="3" fillId="0" borderId="8" xfId="3" applyNumberFormat="1" applyFont="1" applyFill="1" applyBorder="1" applyAlignment="1">
      <alignment horizontal="right"/>
    </xf>
    <xf numFmtId="4" fontId="3" fillId="0" borderId="16" xfId="0" applyNumberFormat="1" applyFont="1" applyFill="1" applyBorder="1"/>
    <xf numFmtId="4" fontId="3" fillId="0" borderId="17" xfId="1" applyNumberFormat="1" applyFont="1" applyFill="1" applyBorder="1"/>
    <xf numFmtId="4" fontId="3" fillId="0" borderId="18" xfId="1" applyNumberFormat="1" applyFont="1" applyFill="1" applyBorder="1"/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12" xfId="0" applyNumberFormat="1" applyFont="1" applyFill="1" applyBorder="1"/>
    <xf numFmtId="4" fontId="2" fillId="0" borderId="13" xfId="0" applyNumberFormat="1" applyFont="1" applyFill="1" applyBorder="1"/>
    <xf numFmtId="4" fontId="2" fillId="0" borderId="0" xfId="0" applyNumberFormat="1" applyFont="1" applyFill="1"/>
    <xf numFmtId="4" fontId="2" fillId="0" borderId="21" xfId="0" applyNumberFormat="1" applyFont="1" applyFill="1" applyBorder="1"/>
    <xf numFmtId="4" fontId="2" fillId="0" borderId="22" xfId="0" applyNumberFormat="1" applyFont="1" applyFill="1" applyBorder="1"/>
    <xf numFmtId="4" fontId="2" fillId="0" borderId="23" xfId="0" applyNumberFormat="1" applyFont="1" applyFill="1" applyBorder="1"/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4" fontId="3" fillId="0" borderId="17" xfId="0" applyNumberFormat="1" applyFont="1" applyFill="1" applyBorder="1"/>
    <xf numFmtId="4" fontId="3" fillId="0" borderId="18" xfId="0" applyNumberFormat="1" applyFont="1" applyFill="1" applyBorder="1"/>
    <xf numFmtId="4" fontId="3" fillId="0" borderId="25" xfId="0" applyNumberFormat="1" applyFont="1" applyFill="1" applyBorder="1"/>
    <xf numFmtId="4" fontId="3" fillId="0" borderId="26" xfId="0" applyNumberFormat="1" applyFont="1" applyFill="1" applyBorder="1"/>
    <xf numFmtId="4" fontId="3" fillId="0" borderId="27" xfId="0" applyNumberFormat="1" applyFont="1" applyFill="1" applyBorder="1"/>
    <xf numFmtId="4" fontId="3" fillId="0" borderId="1" xfId="0" applyNumberFormat="1" applyFont="1" applyFill="1" applyBorder="1"/>
    <xf numFmtId="4" fontId="3" fillId="0" borderId="2" xfId="0" applyNumberFormat="1" applyFont="1" applyFill="1" applyBorder="1"/>
    <xf numFmtId="4" fontId="3" fillId="0" borderId="3" xfId="0" applyNumberFormat="1" applyFont="1" applyFill="1" applyBorder="1"/>
    <xf numFmtId="10" fontId="3" fillId="0" borderId="6" xfId="0" applyNumberFormat="1" applyFont="1" applyFill="1" applyBorder="1"/>
    <xf numFmtId="10" fontId="3" fillId="0" borderId="7" xfId="3" applyNumberFormat="1" applyFont="1" applyFill="1" applyBorder="1"/>
    <xf numFmtId="10" fontId="3" fillId="0" borderId="8" xfId="3" applyNumberFormat="1" applyFont="1" applyFill="1" applyBorder="1"/>
    <xf numFmtId="10" fontId="3" fillId="0" borderId="0" xfId="0" applyNumberFormat="1" applyFont="1"/>
    <xf numFmtId="10" fontId="2" fillId="0" borderId="30" xfId="0" applyNumberFormat="1" applyFont="1" applyFill="1" applyBorder="1"/>
    <xf numFmtId="10" fontId="2" fillId="0" borderId="31" xfId="3" applyNumberFormat="1" applyFont="1" applyFill="1" applyBorder="1"/>
    <xf numFmtId="10" fontId="2" fillId="0" borderId="32" xfId="3" applyNumberFormat="1" applyFont="1" applyFill="1" applyBorder="1"/>
    <xf numFmtId="10" fontId="2" fillId="0" borderId="0" xfId="0" applyNumberFormat="1" applyFont="1"/>
    <xf numFmtId="0" fontId="10" fillId="0" borderId="12" xfId="4" applyFont="1" applyBorder="1"/>
    <xf numFmtId="0" fontId="11" fillId="0" borderId="0" xfId="4" applyFont="1"/>
    <xf numFmtId="0" fontId="12" fillId="0" borderId="12" xfId="4" applyFont="1" applyBorder="1" applyAlignment="1">
      <alignment horizontal="center" vertical="center" wrapText="1" readingOrder="1"/>
    </xf>
    <xf numFmtId="0" fontId="11" fillId="0" borderId="12" xfId="4" applyFont="1" applyBorder="1"/>
    <xf numFmtId="0" fontId="11" fillId="0" borderId="12" xfId="4" applyFont="1" applyBorder="1" applyAlignment="1">
      <alignment horizontal="center"/>
    </xf>
    <xf numFmtId="3" fontId="10" fillId="0" borderId="12" xfId="4" applyNumberFormat="1" applyFont="1" applyBorder="1"/>
    <xf numFmtId="0" fontId="11" fillId="0" borderId="12" xfId="4" applyFont="1" applyBorder="1" applyAlignment="1">
      <alignment wrapText="1"/>
    </xf>
    <xf numFmtId="164" fontId="10" fillId="0" borderId="12" xfId="4" applyNumberFormat="1" applyFont="1" applyBorder="1"/>
    <xf numFmtId="2" fontId="11" fillId="2" borderId="12" xfId="4" applyNumberFormat="1" applyFont="1" applyFill="1" applyBorder="1" applyAlignment="1">
      <alignment horizontal="left" vertical="top" wrapText="1"/>
    </xf>
    <xf numFmtId="42" fontId="10" fillId="2" borderId="12" xfId="4" applyNumberFormat="1" applyFont="1" applyFill="1" applyBorder="1" applyAlignment="1">
      <alignment vertical="center"/>
    </xf>
    <xf numFmtId="0" fontId="11" fillId="2" borderId="0" xfId="4" applyFont="1" applyFill="1"/>
    <xf numFmtId="0" fontId="11" fillId="0" borderId="12" xfId="4" applyFont="1" applyBorder="1" applyAlignment="1">
      <alignment vertical="center" wrapText="1"/>
    </xf>
    <xf numFmtId="164" fontId="11" fillId="0" borderId="12" xfId="4" applyNumberFormat="1" applyFont="1" applyBorder="1"/>
    <xf numFmtId="0" fontId="12" fillId="0" borderId="12" xfId="4" applyFont="1" applyBorder="1" applyAlignment="1">
      <alignment horizontal="left" wrapText="1" readingOrder="1"/>
    </xf>
    <xf numFmtId="165" fontId="11" fillId="0" borderId="12" xfId="5" applyNumberFormat="1" applyFont="1" applyBorder="1"/>
    <xf numFmtId="0" fontId="10" fillId="0" borderId="12" xfId="4" applyFont="1" applyBorder="1" applyAlignment="1">
      <alignment horizontal="left" wrapText="1" indent="1" readingOrder="1"/>
    </xf>
    <xf numFmtId="42" fontId="10" fillId="0" borderId="12" xfId="4" applyNumberFormat="1" applyFont="1" applyBorder="1"/>
    <xf numFmtId="0" fontId="10" fillId="3" borderId="12" xfId="4" applyFont="1" applyFill="1" applyBorder="1" applyAlignment="1">
      <alignment horizontal="left" wrapText="1" readingOrder="1"/>
    </xf>
    <xf numFmtId="164" fontId="13" fillId="3" borderId="12" xfId="4" applyNumberFormat="1" applyFont="1" applyFill="1" applyBorder="1"/>
    <xf numFmtId="0" fontId="14" fillId="0" borderId="12" xfId="4" applyFont="1" applyBorder="1" applyAlignment="1">
      <alignment horizontal="right" wrapText="1" indent="1" readingOrder="1"/>
    </xf>
    <xf numFmtId="0" fontId="14" fillId="0" borderId="12" xfId="4" applyFont="1" applyFill="1" applyBorder="1" applyAlignment="1">
      <alignment horizontal="right" wrapText="1" indent="1" readingOrder="1"/>
    </xf>
    <xf numFmtId="42" fontId="11" fillId="2" borderId="12" xfId="4" applyNumberFormat="1" applyFont="1" applyFill="1" applyBorder="1"/>
    <xf numFmtId="165" fontId="11" fillId="0" borderId="12" xfId="4" applyNumberFormat="1" applyFont="1" applyBorder="1"/>
    <xf numFmtId="42" fontId="11" fillId="0" borderId="12" xfId="4" applyNumberFormat="1" applyFont="1" applyBorder="1"/>
    <xf numFmtId="0" fontId="12" fillId="3" borderId="12" xfId="4" applyFont="1" applyFill="1" applyBorder="1" applyAlignment="1">
      <alignment horizontal="left" wrapText="1" readingOrder="1"/>
    </xf>
    <xf numFmtId="42" fontId="13" fillId="3" borderId="12" xfId="4" applyNumberFormat="1" applyFont="1" applyFill="1" applyBorder="1"/>
    <xf numFmtId="0" fontId="14" fillId="0" borderId="12" xfId="4" applyFont="1" applyBorder="1" applyAlignment="1">
      <alignment horizontal="right" wrapText="1" readingOrder="1"/>
    </xf>
    <xf numFmtId="0" fontId="14" fillId="0" borderId="12" xfId="4" applyFont="1" applyFill="1" applyBorder="1" applyAlignment="1">
      <alignment horizontal="right" wrapText="1" readingOrder="1"/>
    </xf>
    <xf numFmtId="0" fontId="12" fillId="4" borderId="12" xfId="4" applyFont="1" applyFill="1" applyBorder="1" applyAlignment="1">
      <alignment horizontal="left" wrapText="1" readingOrder="1"/>
    </xf>
    <xf numFmtId="164" fontId="13" fillId="4" borderId="12" xfId="4" applyNumberFormat="1" applyFont="1" applyFill="1" applyBorder="1"/>
    <xf numFmtId="0" fontId="13" fillId="0" borderId="12" xfId="4" applyFont="1" applyBorder="1"/>
    <xf numFmtId="0" fontId="1" fillId="0" borderId="0" xfId="6"/>
    <xf numFmtId="0" fontId="1" fillId="0" borderId="0" xfId="6" applyFont="1"/>
    <xf numFmtId="0" fontId="18" fillId="0" borderId="0" xfId="6" applyFont="1" applyAlignment="1">
      <alignment vertical="center"/>
    </xf>
    <xf numFmtId="0" fontId="20" fillId="4" borderId="12" xfId="4" applyFont="1" applyFill="1" applyBorder="1" applyAlignment="1">
      <alignment horizontal="center" vertical="center" wrapText="1"/>
    </xf>
    <xf numFmtId="166" fontId="21" fillId="4" borderId="12" xfId="9" applyNumberFormat="1" applyFont="1" applyFill="1" applyBorder="1"/>
    <xf numFmtId="166" fontId="21" fillId="4" borderId="12" xfId="8" applyNumberFormat="1" applyFont="1" applyFill="1" applyBorder="1"/>
    <xf numFmtId="0" fontId="22" fillId="5" borderId="22" xfId="6" applyFont="1" applyFill="1" applyBorder="1" applyAlignment="1">
      <alignment vertical="center" wrapText="1"/>
    </xf>
    <xf numFmtId="0" fontId="19" fillId="5" borderId="22" xfId="6" applyFont="1" applyFill="1" applyBorder="1" applyAlignment="1">
      <alignment horizontal="center" vertical="center" wrapText="1"/>
    </xf>
    <xf numFmtId="0" fontId="20" fillId="5" borderId="12" xfId="4" applyFont="1" applyFill="1" applyBorder="1" applyAlignment="1">
      <alignment horizontal="center" vertical="center" wrapText="1"/>
    </xf>
    <xf numFmtId="166" fontId="21" fillId="0" borderId="12" xfId="9" applyNumberFormat="1" applyFont="1" applyBorder="1"/>
    <xf numFmtId="166" fontId="21" fillId="0" borderId="12" xfId="8" applyNumberFormat="1" applyFont="1" applyBorder="1"/>
    <xf numFmtId="0" fontId="23" fillId="5" borderId="2" xfId="6" applyFont="1" applyFill="1" applyBorder="1" applyAlignment="1">
      <alignment horizontal="right" vertical="center" wrapText="1"/>
    </xf>
    <xf numFmtId="3" fontId="23" fillId="5" borderId="2" xfId="6" applyNumberFormat="1" applyFont="1" applyFill="1" applyBorder="1" applyAlignment="1">
      <alignment horizontal="right" vertical="center" wrapText="1"/>
    </xf>
    <xf numFmtId="0" fontId="22" fillId="5" borderId="2" xfId="6" applyFont="1" applyFill="1" applyBorder="1" applyAlignment="1">
      <alignment horizontal="right" vertical="center" wrapText="1"/>
    </xf>
    <xf numFmtId="0" fontId="22" fillId="5" borderId="3" xfId="6" applyFont="1" applyFill="1" applyBorder="1" applyAlignment="1">
      <alignment horizontal="right" vertical="center" wrapText="1"/>
    </xf>
    <xf numFmtId="0" fontId="23" fillId="5" borderId="35" xfId="6" applyFont="1" applyFill="1" applyBorder="1" applyAlignment="1">
      <alignment horizontal="right" vertical="center" wrapText="1"/>
    </xf>
    <xf numFmtId="0" fontId="9" fillId="0" borderId="12" xfId="4" applyBorder="1"/>
    <xf numFmtId="0" fontId="1" fillId="0" borderId="12" xfId="6" applyBorder="1"/>
    <xf numFmtId="3" fontId="23" fillId="5" borderId="12" xfId="6" applyNumberFormat="1" applyFont="1" applyFill="1" applyBorder="1" applyAlignment="1">
      <alignment horizontal="right" vertical="center" wrapText="1"/>
    </xf>
    <xf numFmtId="0" fontId="22" fillId="5" borderId="12" xfId="6" applyFont="1" applyFill="1" applyBorder="1" applyAlignment="1">
      <alignment horizontal="right" vertical="center" wrapText="1"/>
    </xf>
    <xf numFmtId="0" fontId="22" fillId="5" borderId="13" xfId="6" applyFont="1" applyFill="1" applyBorder="1" applyAlignment="1">
      <alignment horizontal="right" vertical="center" wrapText="1"/>
    </xf>
    <xf numFmtId="0" fontId="23" fillId="5" borderId="36" xfId="6" applyFont="1" applyFill="1" applyBorder="1" applyAlignment="1">
      <alignment horizontal="right" vertical="center" wrapText="1"/>
    </xf>
    <xf numFmtId="0" fontId="8" fillId="0" borderId="12" xfId="4" applyFont="1" applyBorder="1" applyAlignment="1">
      <alignment wrapText="1"/>
    </xf>
    <xf numFmtId="4" fontId="8" fillId="0" borderId="12" xfId="4" applyNumberFormat="1" applyFont="1" applyBorder="1" applyAlignment="1">
      <alignment horizontal="right"/>
    </xf>
    <xf numFmtId="4" fontId="9" fillId="0" borderId="12" xfId="4" applyNumberFormat="1" applyFont="1" applyBorder="1" applyAlignment="1">
      <alignment horizontal="right"/>
    </xf>
    <xf numFmtId="4" fontId="8" fillId="0" borderId="12" xfId="6" applyNumberFormat="1" applyFont="1" applyBorder="1" applyAlignment="1">
      <alignment horizontal="right"/>
    </xf>
    <xf numFmtId="0" fontId="24" fillId="0" borderId="12" xfId="4" applyFont="1" applyBorder="1" applyAlignment="1">
      <alignment wrapText="1"/>
    </xf>
    <xf numFmtId="4" fontId="24" fillId="0" borderId="12" xfId="4" applyNumberFormat="1" applyFont="1" applyBorder="1" applyAlignment="1">
      <alignment horizontal="right"/>
    </xf>
    <xf numFmtId="4" fontId="24" fillId="0" borderId="12" xfId="6" applyNumberFormat="1" applyFont="1" applyBorder="1" applyAlignment="1">
      <alignment horizontal="right"/>
    </xf>
    <xf numFmtId="43" fontId="8" fillId="0" borderId="12" xfId="9" applyNumberFormat="1" applyFont="1" applyBorder="1" applyAlignment="1">
      <alignment horizontal="center" vertical="center"/>
    </xf>
    <xf numFmtId="43" fontId="8" fillId="0" borderId="12" xfId="8" applyNumberFormat="1" applyFont="1" applyBorder="1" applyAlignment="1">
      <alignment horizontal="center" vertical="center"/>
    </xf>
    <xf numFmtId="0" fontId="8" fillId="0" borderId="12" xfId="4" applyFont="1" applyFill="1" applyBorder="1" applyAlignment="1">
      <alignment wrapText="1"/>
    </xf>
    <xf numFmtId="2" fontId="8" fillId="0" borderId="12" xfId="4" applyNumberFormat="1" applyFont="1" applyBorder="1" applyAlignment="1">
      <alignment vertical="center"/>
    </xf>
    <xf numFmtId="2" fontId="8" fillId="0" borderId="12" xfId="6" applyNumberFormat="1" applyFont="1" applyBorder="1" applyAlignment="1">
      <alignment vertical="center"/>
    </xf>
    <xf numFmtId="0" fontId="25" fillId="0" borderId="12" xfId="4" applyFont="1" applyFill="1" applyBorder="1"/>
    <xf numFmtId="43" fontId="26" fillId="0" borderId="12" xfId="4" applyNumberFormat="1" applyFont="1" applyBorder="1"/>
    <xf numFmtId="43" fontId="26" fillId="0" borderId="12" xfId="6" applyNumberFormat="1" applyFont="1" applyBorder="1"/>
    <xf numFmtId="43" fontId="27" fillId="0" borderId="12" xfId="9" applyFont="1" applyFill="1" applyBorder="1" applyAlignment="1">
      <alignment wrapText="1"/>
    </xf>
    <xf numFmtId="43" fontId="28" fillId="0" borderId="12" xfId="9" applyFont="1" applyBorder="1"/>
    <xf numFmtId="43" fontId="28" fillId="0" borderId="12" xfId="8" applyFont="1" applyBorder="1"/>
    <xf numFmtId="3" fontId="23" fillId="5" borderId="7" xfId="6" applyNumberFormat="1" applyFont="1" applyFill="1" applyBorder="1" applyAlignment="1">
      <alignment horizontal="right" vertical="center" wrapText="1"/>
    </xf>
    <xf numFmtId="0" fontId="23" fillId="5" borderId="7" xfId="6" applyFont="1" applyFill="1" applyBorder="1" applyAlignment="1">
      <alignment horizontal="right" vertical="center" wrapText="1"/>
    </xf>
    <xf numFmtId="0" fontId="22" fillId="5" borderId="7" xfId="6" applyFont="1" applyFill="1" applyBorder="1" applyAlignment="1">
      <alignment horizontal="right" vertical="center" wrapText="1"/>
    </xf>
    <xf numFmtId="0" fontId="22" fillId="5" borderId="8" xfId="6" applyFont="1" applyFill="1" applyBorder="1" applyAlignment="1">
      <alignment horizontal="right" vertical="center" wrapText="1"/>
    </xf>
    <xf numFmtId="0" fontId="23" fillId="5" borderId="37" xfId="6" applyFont="1" applyFill="1" applyBorder="1" applyAlignment="1">
      <alignment horizontal="right" vertical="center" wrapText="1"/>
    </xf>
    <xf numFmtId="4" fontId="23" fillId="5" borderId="12" xfId="6" applyNumberFormat="1" applyFont="1" applyFill="1" applyBorder="1" applyAlignment="1">
      <alignment horizontal="right" vertical="center" wrapText="1"/>
    </xf>
    <xf numFmtId="4" fontId="23" fillId="5" borderId="7" xfId="6" applyNumberFormat="1" applyFont="1" applyFill="1" applyBorder="1" applyAlignment="1">
      <alignment horizontal="right" vertical="center" wrapText="1"/>
    </xf>
    <xf numFmtId="0" fontId="29" fillId="5" borderId="0" xfId="6" applyFont="1" applyFill="1" applyBorder="1" applyAlignment="1">
      <alignment vertical="center" wrapText="1"/>
    </xf>
    <xf numFmtId="0" fontId="23" fillId="5" borderId="0" xfId="6" applyFont="1" applyFill="1" applyBorder="1" applyAlignment="1">
      <alignment vertical="center" wrapText="1"/>
    </xf>
    <xf numFmtId="3" fontId="23" fillId="5" borderId="0" xfId="6" applyNumberFormat="1" applyFont="1" applyFill="1" applyBorder="1" applyAlignment="1">
      <alignment horizontal="right" vertical="center" wrapText="1"/>
    </xf>
    <xf numFmtId="0" fontId="23" fillId="5" borderId="0" xfId="6" applyFont="1" applyFill="1" applyBorder="1" applyAlignment="1">
      <alignment horizontal="right" vertical="center" wrapText="1"/>
    </xf>
    <xf numFmtId="4" fontId="23" fillId="5" borderId="0" xfId="6" applyNumberFormat="1" applyFont="1" applyFill="1" applyBorder="1" applyAlignment="1">
      <alignment horizontal="right" vertical="center" wrapText="1"/>
    </xf>
    <xf numFmtId="0" fontId="19" fillId="5" borderId="41" xfId="6" applyFont="1" applyFill="1" applyBorder="1" applyAlignment="1">
      <alignment wrapText="1"/>
    </xf>
    <xf numFmtId="0" fontId="19" fillId="5" borderId="42" xfId="6" applyFont="1" applyFill="1" applyBorder="1" applyAlignment="1">
      <alignment wrapText="1"/>
    </xf>
    <xf numFmtId="0" fontId="19" fillId="5" borderId="43" xfId="6" applyFont="1" applyFill="1" applyBorder="1" applyAlignment="1">
      <alignment wrapText="1"/>
    </xf>
    <xf numFmtId="0" fontId="19" fillId="5" borderId="0" xfId="6" applyFont="1" applyFill="1" applyBorder="1" applyAlignment="1">
      <alignment wrapText="1"/>
    </xf>
    <xf numFmtId="0" fontId="19" fillId="5" borderId="44" xfId="6" applyFont="1" applyFill="1" applyBorder="1" applyAlignment="1">
      <alignment horizontal="center" wrapText="1"/>
    </xf>
    <xf numFmtId="0" fontId="19" fillId="5" borderId="0" xfId="6" applyFont="1" applyFill="1" applyBorder="1" applyAlignment="1">
      <alignment horizontal="center" vertical="top" wrapText="1"/>
    </xf>
    <xf numFmtId="0" fontId="19" fillId="5" borderId="47" xfId="6" applyFont="1" applyFill="1" applyBorder="1" applyAlignment="1">
      <alignment horizontal="center" wrapText="1"/>
    </xf>
    <xf numFmtId="0" fontId="23" fillId="5" borderId="41" xfId="6" applyFont="1" applyFill="1" applyBorder="1" applyAlignment="1">
      <alignment vertical="top" wrapText="1"/>
    </xf>
    <xf numFmtId="0" fontId="23" fillId="5" borderId="41" xfId="6" applyFont="1" applyFill="1" applyBorder="1" applyAlignment="1">
      <alignment wrapText="1"/>
    </xf>
    <xf numFmtId="0" fontId="22" fillId="5" borderId="41" xfId="6" applyFont="1" applyFill="1" applyBorder="1" applyAlignment="1">
      <alignment vertical="top" wrapText="1"/>
    </xf>
    <xf numFmtId="0" fontId="19" fillId="5" borderId="41" xfId="6" applyFont="1" applyFill="1" applyBorder="1" applyAlignment="1">
      <alignment horizontal="center" wrapText="1"/>
    </xf>
    <xf numFmtId="0" fontId="19" fillId="5" borderId="28" xfId="6" applyFont="1" applyFill="1" applyBorder="1" applyAlignment="1">
      <alignment horizontal="center" wrapText="1"/>
    </xf>
    <xf numFmtId="0" fontId="19" fillId="5" borderId="0" xfId="6" applyFont="1" applyFill="1" applyBorder="1" applyAlignment="1">
      <alignment horizontal="center" wrapText="1"/>
    </xf>
    <xf numFmtId="0" fontId="23" fillId="5" borderId="45" xfId="6" applyFont="1" applyFill="1" applyBorder="1" applyAlignment="1">
      <alignment vertical="top" wrapText="1"/>
    </xf>
    <xf numFmtId="0" fontId="23" fillId="5" borderId="45" xfId="6" applyFont="1" applyFill="1" applyBorder="1" applyAlignment="1">
      <alignment horizontal="right" wrapText="1"/>
    </xf>
    <xf numFmtId="0" fontId="22" fillId="5" borderId="45" xfId="6" applyFont="1" applyFill="1" applyBorder="1" applyAlignment="1">
      <alignment vertical="top" wrapText="1"/>
    </xf>
    <xf numFmtId="0" fontId="19" fillId="5" borderId="43" xfId="6" applyFont="1" applyFill="1" applyBorder="1" applyAlignment="1">
      <alignment horizontal="center" wrapText="1"/>
    </xf>
    <xf numFmtId="0" fontId="23" fillId="5" borderId="45" xfId="6" applyFont="1" applyFill="1" applyBorder="1" applyAlignment="1">
      <alignment wrapText="1"/>
    </xf>
    <xf numFmtId="0" fontId="23" fillId="5" borderId="45" xfId="6" applyFont="1" applyFill="1" applyBorder="1" applyAlignment="1">
      <alignment horizontal="center" wrapText="1"/>
    </xf>
    <xf numFmtId="4" fontId="23" fillId="5" borderId="41" xfId="6" applyNumberFormat="1" applyFont="1" applyFill="1" applyBorder="1" applyAlignment="1">
      <alignment wrapText="1"/>
    </xf>
    <xf numFmtId="4" fontId="23" fillId="5" borderId="43" xfId="6" applyNumberFormat="1" applyFont="1" applyFill="1" applyBorder="1" applyAlignment="1">
      <alignment wrapText="1"/>
    </xf>
    <xf numFmtId="4" fontId="23" fillId="5" borderId="0" xfId="6" applyNumberFormat="1" applyFont="1" applyFill="1" applyBorder="1" applyAlignment="1">
      <alignment horizontal="right" wrapText="1"/>
    </xf>
    <xf numFmtId="4" fontId="23" fillId="5" borderId="45" xfId="6" applyNumberFormat="1" applyFont="1" applyFill="1" applyBorder="1" applyAlignment="1">
      <alignment horizontal="right" vertical="top" wrapText="1"/>
    </xf>
    <xf numFmtId="0" fontId="23" fillId="5" borderId="44" xfId="6" applyFont="1" applyFill="1" applyBorder="1" applyAlignment="1">
      <alignment horizontal="right" vertical="top" wrapText="1"/>
    </xf>
    <xf numFmtId="3" fontId="23" fillId="5" borderId="45" xfId="6" applyNumberFormat="1" applyFont="1" applyFill="1" applyBorder="1" applyAlignment="1">
      <alignment wrapText="1"/>
    </xf>
    <xf numFmtId="0" fontId="23" fillId="5" borderId="50" xfId="6" applyFont="1" applyFill="1" applyBorder="1" applyAlignment="1">
      <alignment wrapText="1"/>
    </xf>
    <xf numFmtId="4" fontId="23" fillId="5" borderId="45" xfId="6" applyNumberFormat="1" applyFont="1" applyFill="1" applyBorder="1" applyAlignment="1">
      <alignment horizontal="right" wrapText="1"/>
    </xf>
    <xf numFmtId="0" fontId="23" fillId="5" borderId="44" xfId="6" applyFont="1" applyFill="1" applyBorder="1" applyAlignment="1">
      <alignment horizontal="right" wrapText="1"/>
    </xf>
    <xf numFmtId="0" fontId="19" fillId="5" borderId="44" xfId="6" applyFont="1" applyFill="1" applyBorder="1" applyAlignment="1">
      <alignment horizontal="right" wrapText="1"/>
    </xf>
    <xf numFmtId="3" fontId="23" fillId="5" borderId="45" xfId="6" applyNumberFormat="1" applyFont="1" applyFill="1" applyBorder="1" applyAlignment="1">
      <alignment vertical="top" wrapText="1"/>
    </xf>
    <xf numFmtId="0" fontId="23" fillId="5" borderId="50" xfId="6" applyFont="1" applyFill="1" applyBorder="1" applyAlignment="1">
      <alignment vertical="top" wrapText="1"/>
    </xf>
    <xf numFmtId="0" fontId="23" fillId="5" borderId="0" xfId="6" applyFont="1" applyFill="1" applyBorder="1" applyAlignment="1">
      <alignment horizontal="right" wrapText="1"/>
    </xf>
    <xf numFmtId="0" fontId="23" fillId="5" borderId="45" xfId="6" applyFont="1" applyFill="1" applyBorder="1" applyAlignment="1">
      <alignment horizontal="center" vertical="top" wrapText="1"/>
    </xf>
    <xf numFmtId="0" fontId="23" fillId="5" borderId="0" xfId="6" applyFont="1" applyFill="1" applyBorder="1" applyAlignment="1">
      <alignment horizontal="right" vertical="top" wrapText="1"/>
    </xf>
    <xf numFmtId="0" fontId="23" fillId="5" borderId="44" xfId="6" applyFont="1" applyFill="1" applyBorder="1" applyAlignment="1">
      <alignment horizontal="justify" wrapText="1"/>
    </xf>
    <xf numFmtId="0" fontId="23" fillId="5" borderId="0" xfId="6" applyFont="1" applyFill="1" applyBorder="1" applyAlignment="1">
      <alignment horizontal="justify" wrapText="1"/>
    </xf>
    <xf numFmtId="0" fontId="23" fillId="5" borderId="44" xfId="6" applyFont="1" applyFill="1" applyBorder="1" applyAlignment="1">
      <alignment horizontal="justify" vertical="top" wrapText="1"/>
    </xf>
    <xf numFmtId="0" fontId="23" fillId="5" borderId="0" xfId="6" applyFont="1" applyFill="1" applyBorder="1" applyAlignment="1">
      <alignment horizontal="justify" vertical="top" wrapText="1"/>
    </xf>
    <xf numFmtId="0" fontId="19" fillId="5" borderId="44" xfId="6" applyFont="1" applyFill="1" applyBorder="1" applyAlignment="1">
      <alignment horizontal="justify" wrapText="1"/>
    </xf>
    <xf numFmtId="0" fontId="19" fillId="5" borderId="0" xfId="6" applyFont="1" applyFill="1" applyBorder="1" applyAlignment="1">
      <alignment horizontal="justify" wrapText="1"/>
    </xf>
    <xf numFmtId="0" fontId="31" fillId="5" borderId="50" xfId="6" applyFont="1" applyFill="1" applyBorder="1" applyAlignment="1">
      <alignment vertical="top" wrapText="1"/>
    </xf>
    <xf numFmtId="0" fontId="19" fillId="5" borderId="44" xfId="6" applyFont="1" applyFill="1" applyBorder="1" applyAlignment="1">
      <alignment horizontal="justify" vertical="top" wrapText="1"/>
    </xf>
    <xf numFmtId="0" fontId="19" fillId="5" borderId="0" xfId="6" applyFont="1" applyFill="1" applyBorder="1" applyAlignment="1">
      <alignment horizontal="justify" vertical="top" wrapText="1"/>
    </xf>
    <xf numFmtId="0" fontId="23" fillId="5" borderId="41" xfId="6" applyFont="1" applyFill="1" applyBorder="1" applyAlignment="1">
      <alignment horizontal="center" vertical="top" wrapText="1"/>
    </xf>
    <xf numFmtId="0" fontId="30" fillId="0" borderId="0" xfId="6" applyFont="1" applyBorder="1" applyAlignment="1">
      <alignment horizontal="left"/>
    </xf>
    <xf numFmtId="0" fontId="30" fillId="0" borderId="0" xfId="6" applyFont="1" applyAlignment="1">
      <alignment horizontal="left"/>
    </xf>
    <xf numFmtId="0" fontId="33" fillId="5" borderId="12" xfId="6" applyFont="1" applyFill="1" applyBorder="1" applyAlignment="1">
      <alignment vertical="center" wrapText="1"/>
    </xf>
    <xf numFmtId="0" fontId="23" fillId="5" borderId="12" xfId="6" applyFont="1" applyFill="1" applyBorder="1" applyAlignment="1">
      <alignment vertical="center" wrapText="1"/>
    </xf>
    <xf numFmtId="0" fontId="23" fillId="5" borderId="12" xfId="6" applyFont="1" applyFill="1" applyBorder="1" applyAlignment="1">
      <alignment horizontal="center" vertical="center" wrapText="1"/>
    </xf>
    <xf numFmtId="10" fontId="23" fillId="5" borderId="12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/>
    <xf numFmtId="0" fontId="34" fillId="0" borderId="44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/>
    <xf numFmtId="167" fontId="0" fillId="6" borderId="27" xfId="0" applyNumberForma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167" fontId="8" fillId="6" borderId="28" xfId="0" applyNumberFormat="1" applyFont="1" applyFill="1" applyBorder="1" applyAlignment="1">
      <alignment horizontal="center" vertical="center"/>
    </xf>
    <xf numFmtId="167" fontId="8" fillId="6" borderId="29" xfId="0" applyNumberFormat="1" applyFont="1" applyFill="1" applyBorder="1" applyAlignment="1">
      <alignment horizontal="center" vertical="center"/>
    </xf>
    <xf numFmtId="167" fontId="0" fillId="6" borderId="42" xfId="0" applyNumberFormat="1" applyFill="1" applyBorder="1" applyAlignment="1">
      <alignment horizontal="center" vertical="center"/>
    </xf>
    <xf numFmtId="167" fontId="0" fillId="6" borderId="41" xfId="0" applyNumberForma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167" fontId="35" fillId="3" borderId="54" xfId="0" applyNumberFormat="1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167" fontId="35" fillId="3" borderId="33" xfId="0" applyNumberFormat="1" applyFont="1" applyFill="1" applyBorder="1" applyAlignment="1">
      <alignment horizontal="center" vertical="center"/>
    </xf>
    <xf numFmtId="167" fontId="35" fillId="3" borderId="34" xfId="0" applyNumberFormat="1" applyFont="1" applyFill="1" applyBorder="1" applyAlignment="1">
      <alignment horizontal="center" vertical="center"/>
    </xf>
    <xf numFmtId="0" fontId="35" fillId="3" borderId="54" xfId="0" applyFont="1" applyFill="1" applyBorder="1" applyAlignment="1">
      <alignment horizontal="center" vertical="center"/>
    </xf>
    <xf numFmtId="167" fontId="35" fillId="3" borderId="55" xfId="0" applyNumberFormat="1" applyFont="1" applyFill="1" applyBorder="1" applyAlignment="1">
      <alignment horizontal="center" vertical="center"/>
    </xf>
    <xf numFmtId="0" fontId="35" fillId="3" borderId="33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7" fontId="0" fillId="3" borderId="56" xfId="0" applyNumberForma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167" fontId="0" fillId="3" borderId="14" xfId="0" applyNumberFormat="1" applyFill="1" applyBorder="1" applyAlignment="1">
      <alignment horizontal="center" vertical="center"/>
    </xf>
    <xf numFmtId="167" fontId="0" fillId="3" borderId="15" xfId="0" applyNumberFormat="1" applyFill="1" applyBorder="1" applyAlignment="1">
      <alignment horizontal="center" vertical="center"/>
    </xf>
    <xf numFmtId="0" fontId="0" fillId="3" borderId="56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39" xfId="0" applyNumberFormat="1" applyFill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7" fontId="0" fillId="3" borderId="57" xfId="0" applyNumberForma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167" fontId="0" fillId="3" borderId="9" xfId="0" applyNumberFormat="1" applyFill="1" applyBorder="1" applyAlignment="1">
      <alignment horizontal="center" vertical="center"/>
    </xf>
    <xf numFmtId="167" fontId="0" fillId="3" borderId="10" xfId="0" applyNumberFormat="1" applyFill="1" applyBorder="1" applyAlignment="1">
      <alignment horizontal="center" vertical="center"/>
    </xf>
    <xf numFmtId="0" fontId="0" fillId="3" borderId="57" xfId="0" applyNumberFormat="1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40" xfId="0" applyNumberForma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17" xfId="0" applyFill="1" applyBorder="1"/>
    <xf numFmtId="167" fontId="0" fillId="6" borderId="18" xfId="0" applyNumberForma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167" fontId="8" fillId="6" borderId="19" xfId="0" applyNumberFormat="1" applyFont="1" applyFill="1" applyBorder="1" applyAlignment="1">
      <alignment horizontal="center" vertical="center"/>
    </xf>
    <xf numFmtId="167" fontId="8" fillId="6" borderId="20" xfId="0" applyNumberFormat="1" applyFont="1" applyFill="1" applyBorder="1" applyAlignment="1">
      <alignment horizontal="center" vertical="center"/>
    </xf>
    <xf numFmtId="167" fontId="0" fillId="6" borderId="0" xfId="0" applyNumberFormat="1" applyFill="1" applyBorder="1" applyAlignment="1">
      <alignment horizontal="center" vertical="center"/>
    </xf>
    <xf numFmtId="167" fontId="0" fillId="6" borderId="50" xfId="0" applyNumberForma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167" fontId="35" fillId="3" borderId="42" xfId="0" applyNumberFormat="1" applyFont="1" applyFill="1" applyBorder="1" applyAlignment="1">
      <alignment horizontal="center" vertical="center"/>
    </xf>
    <xf numFmtId="0" fontId="35" fillId="3" borderId="41" xfId="0" applyFont="1" applyFill="1" applyBorder="1" applyAlignment="1">
      <alignment horizontal="center" vertical="center"/>
    </xf>
    <xf numFmtId="167" fontId="35" fillId="3" borderId="28" xfId="0" applyNumberFormat="1" applyFont="1" applyFill="1" applyBorder="1" applyAlignment="1">
      <alignment horizontal="center" vertical="center"/>
    </xf>
    <xf numFmtId="167" fontId="35" fillId="3" borderId="29" xfId="0" applyNumberFormat="1" applyFont="1" applyFill="1" applyBorder="1" applyAlignment="1">
      <alignment horizontal="center" vertical="center"/>
    </xf>
    <xf numFmtId="0" fontId="35" fillId="3" borderId="42" xfId="0" applyFont="1" applyFill="1" applyBorder="1" applyAlignment="1">
      <alignment horizontal="center" vertical="center"/>
    </xf>
    <xf numFmtId="167" fontId="35" fillId="3" borderId="4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54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/>
    </xf>
    <xf numFmtId="167" fontId="0" fillId="3" borderId="54" xfId="0" applyNumberForma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167" fontId="0" fillId="3" borderId="33" xfId="0" applyNumberFormat="1" applyFill="1" applyBorder="1" applyAlignment="1">
      <alignment horizontal="center" vertical="center"/>
    </xf>
    <xf numFmtId="167" fontId="0" fillId="3" borderId="34" xfId="0" applyNumberForma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5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wrapText="1"/>
    </xf>
    <xf numFmtId="167" fontId="0" fillId="3" borderId="56" xfId="0" applyNumberFormat="1" applyFill="1" applyBorder="1" applyAlignment="1">
      <alignment horizontal="center" vertical="center" wrapText="1"/>
    </xf>
    <xf numFmtId="167" fontId="0" fillId="3" borderId="15" xfId="0" applyNumberForma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wrapText="1"/>
    </xf>
    <xf numFmtId="167" fontId="0" fillId="3" borderId="56" xfId="0" applyNumberFormat="1" applyFont="1" applyFill="1" applyBorder="1" applyAlignment="1">
      <alignment horizontal="center" vertical="center" wrapText="1"/>
    </xf>
    <xf numFmtId="167" fontId="0" fillId="3" borderId="15" xfId="0" applyNumberFormat="1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/>
    </xf>
    <xf numFmtId="167" fontId="0" fillId="3" borderId="58" xfId="0" applyNumberFormat="1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167" fontId="0" fillId="3" borderId="59" xfId="0" applyNumberFormat="1" applyFill="1" applyBorder="1" applyAlignment="1">
      <alignment horizontal="center" vertical="center"/>
    </xf>
    <xf numFmtId="167" fontId="0" fillId="3" borderId="24" xfId="0" applyNumberFormat="1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6" borderId="42" xfId="0" applyFill="1" applyBorder="1"/>
    <xf numFmtId="167" fontId="8" fillId="6" borderId="28" xfId="0" applyNumberFormat="1" applyFont="1" applyFill="1" applyBorder="1" applyAlignment="1">
      <alignment horizontal="center"/>
    </xf>
    <xf numFmtId="167" fontId="8" fillId="6" borderId="29" xfId="0" applyNumberFormat="1" applyFont="1" applyFill="1" applyBorder="1"/>
    <xf numFmtId="167" fontId="0" fillId="6" borderId="42" xfId="0" applyNumberFormat="1" applyFill="1" applyBorder="1"/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0" fillId="6" borderId="41" xfId="0" applyFill="1" applyBorder="1"/>
    <xf numFmtId="0" fontId="8" fillId="0" borderId="33" xfId="0" applyFont="1" applyBorder="1" applyAlignment="1">
      <alignment horizontal="center" vertical="center" wrapText="1"/>
    </xf>
    <xf numFmtId="167" fontId="8" fillId="3" borderId="55" xfId="0" applyNumberFormat="1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167" fontId="8" fillId="3" borderId="33" xfId="0" applyNumberFormat="1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7" fontId="0" fillId="3" borderId="60" xfId="0" applyNumberFormat="1" applyFill="1" applyBorder="1" applyAlignment="1">
      <alignment horizontal="center" vertical="center"/>
    </xf>
    <xf numFmtId="167" fontId="0" fillId="3" borderId="59" xfId="0" applyNumberFormat="1" applyFill="1" applyBorder="1" applyAlignment="1">
      <alignment horizontal="center"/>
    </xf>
    <xf numFmtId="167" fontId="0" fillId="3" borderId="24" xfId="0" applyNumberFormat="1" applyFill="1" applyBorder="1"/>
    <xf numFmtId="0" fontId="0" fillId="6" borderId="28" xfId="0" applyFill="1" applyBorder="1"/>
    <xf numFmtId="167" fontId="8" fillId="6" borderId="29" xfId="0" applyNumberFormat="1" applyFont="1" applyFill="1" applyBorder="1" applyAlignment="1">
      <alignment horizontal="center"/>
    </xf>
    <xf numFmtId="167" fontId="0" fillId="6" borderId="42" xfId="0" applyNumberForma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3" borderId="58" xfId="0" applyNumberFormat="1" applyFill="1" applyBorder="1" applyAlignment="1">
      <alignment horizontal="center" vertical="center"/>
    </xf>
    <xf numFmtId="0" fontId="0" fillId="3" borderId="60" xfId="0" applyNumberForma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2" xfId="0" applyFill="1" applyBorder="1"/>
    <xf numFmtId="167" fontId="0" fillId="7" borderId="42" xfId="0" applyNumberForma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167" fontId="8" fillId="7" borderId="28" xfId="0" applyNumberFormat="1" applyFont="1" applyFill="1" applyBorder="1" applyAlignment="1">
      <alignment horizontal="center" vertical="center"/>
    </xf>
    <xf numFmtId="167" fontId="8" fillId="7" borderId="29" xfId="0" applyNumberFormat="1" applyFont="1" applyFill="1" applyBorder="1" applyAlignment="1">
      <alignment horizontal="center" vertical="center"/>
    </xf>
    <xf numFmtId="167" fontId="8" fillId="7" borderId="42" xfId="0" applyNumberFormat="1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167" fontId="8" fillId="6" borderId="42" xfId="0" applyNumberFormat="1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167" fontId="35" fillId="3" borderId="45" xfId="0" applyNumberFormat="1" applyFont="1" applyFill="1" applyBorder="1" applyAlignment="1">
      <alignment horizontal="center" vertical="center"/>
    </xf>
    <xf numFmtId="0" fontId="35" fillId="3" borderId="45" xfId="0" applyFont="1" applyFill="1" applyBorder="1" applyAlignment="1">
      <alignment horizontal="center" vertical="center"/>
    </xf>
    <xf numFmtId="167" fontId="35" fillId="3" borderId="52" xfId="0" applyNumberFormat="1" applyFont="1" applyFill="1" applyBorder="1" applyAlignment="1">
      <alignment horizontal="center" vertical="center"/>
    </xf>
    <xf numFmtId="0" fontId="35" fillId="3" borderId="51" xfId="0" applyFont="1" applyFill="1" applyBorder="1" applyAlignment="1">
      <alignment horizontal="center" vertical="center"/>
    </xf>
    <xf numFmtId="167" fontId="35" fillId="3" borderId="44" xfId="0" applyNumberFormat="1" applyFont="1" applyFill="1" applyBorder="1" applyAlignment="1">
      <alignment horizontal="center" vertical="center"/>
    </xf>
    <xf numFmtId="167" fontId="35" fillId="3" borderId="61" xfId="0" applyNumberFormat="1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67" fontId="8" fillId="3" borderId="28" xfId="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7" fontId="0" fillId="3" borderId="35" xfId="0" applyNumberFormat="1" applyFill="1" applyBorder="1" applyAlignment="1">
      <alignment horizontal="center"/>
    </xf>
    <xf numFmtId="167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67" fontId="0" fillId="3" borderId="62" xfId="0" applyNumberFormat="1" applyFill="1" applyBorder="1" applyAlignment="1">
      <alignment horizontal="center"/>
    </xf>
    <xf numFmtId="0" fontId="0" fillId="0" borderId="39" xfId="0" applyBorder="1" applyAlignment="1">
      <alignment horizontal="center" vertical="center"/>
    </xf>
    <xf numFmtId="167" fontId="0" fillId="3" borderId="1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67" fontId="0" fillId="3" borderId="36" xfId="0" applyNumberFormat="1" applyFill="1" applyBorder="1" applyAlignment="1">
      <alignment horizontal="center"/>
    </xf>
    <xf numFmtId="167" fontId="0" fillId="3" borderId="13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7" fontId="0" fillId="3" borderId="14" xfId="0" applyNumberFormat="1" applyFill="1" applyBorder="1" applyAlignment="1">
      <alignment horizontal="center"/>
    </xf>
    <xf numFmtId="167" fontId="0" fillId="3" borderId="56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 wrapText="1"/>
    </xf>
    <xf numFmtId="0" fontId="0" fillId="3" borderId="56" xfId="0" applyNumberFormat="1" applyFill="1" applyBorder="1" applyAlignment="1">
      <alignment horizontal="center"/>
    </xf>
    <xf numFmtId="0" fontId="0" fillId="0" borderId="60" xfId="0" applyBorder="1" applyAlignment="1">
      <alignment horizontal="center" vertical="center" wrapText="1"/>
    </xf>
    <xf numFmtId="167" fontId="0" fillId="3" borderId="6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7" fontId="0" fillId="3" borderId="37" xfId="0" applyNumberFormat="1" applyFill="1" applyBorder="1" applyAlignment="1">
      <alignment horizontal="center"/>
    </xf>
    <xf numFmtId="167" fontId="0" fillId="3" borderId="8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167" fontId="0" fillId="3" borderId="9" xfId="0" applyNumberFormat="1" applyFill="1" applyBorder="1" applyAlignment="1">
      <alignment horizontal="center"/>
    </xf>
    <xf numFmtId="0" fontId="0" fillId="3" borderId="57" xfId="0" applyNumberFormat="1" applyFill="1" applyBorder="1" applyAlignment="1">
      <alignment horizontal="center"/>
    </xf>
    <xf numFmtId="167" fontId="0" fillId="6" borderId="63" xfId="0" applyNumberForma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167" fontId="8" fillId="6" borderId="48" xfId="0" applyNumberFormat="1" applyFont="1" applyFill="1" applyBorder="1" applyAlignment="1">
      <alignment horizontal="center" vertical="center"/>
    </xf>
    <xf numFmtId="167" fontId="0" fillId="6" borderId="64" xfId="0" applyNumberFormat="1" applyFill="1" applyBorder="1" applyAlignment="1">
      <alignment horizontal="center" vertical="center"/>
    </xf>
    <xf numFmtId="167" fontId="8" fillId="6" borderId="64" xfId="0" applyNumberFormat="1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167" fontId="8" fillId="6" borderId="47" xfId="0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167" fontId="35" fillId="0" borderId="65" xfId="0" applyNumberFormat="1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167" fontId="35" fillId="3" borderId="48" xfId="0" applyNumberFormat="1" applyFont="1" applyFill="1" applyBorder="1" applyAlignment="1">
      <alignment horizontal="center" vertical="center"/>
    </xf>
    <xf numFmtId="167" fontId="35" fillId="3" borderId="31" xfId="0" applyNumberFormat="1" applyFont="1" applyFill="1" applyBorder="1" applyAlignment="1">
      <alignment horizontal="center" vertical="center"/>
    </xf>
    <xf numFmtId="0" fontId="35" fillId="3" borderId="63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167" fontId="8" fillId="3" borderId="47" xfId="0" applyNumberFormat="1" applyFont="1" applyFill="1" applyBorder="1" applyAlignment="1">
      <alignment horizontal="center" vertical="center"/>
    </xf>
    <xf numFmtId="167" fontId="35" fillId="3" borderId="47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167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67" fontId="0" fillId="0" borderId="50" xfId="0" applyNumberFormat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7" fontId="0" fillId="0" borderId="50" xfId="0" applyNumberFormat="1" applyFill="1" applyBorder="1" applyAlignment="1">
      <alignment horizontal="center"/>
    </xf>
    <xf numFmtId="167" fontId="0" fillId="0" borderId="22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19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7" fontId="8" fillId="6" borderId="41" xfId="0" applyNumberFormat="1" applyFont="1" applyFill="1" applyBorder="1" applyAlignment="1">
      <alignment horizontal="center" vertical="center"/>
    </xf>
    <xf numFmtId="167" fontId="8" fillId="6" borderId="26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67" fontId="0" fillId="0" borderId="65" xfId="0" applyNumberFormat="1" applyBorder="1" applyAlignment="1">
      <alignment horizontal="center"/>
    </xf>
    <xf numFmtId="0" fontId="0" fillId="0" borderId="66" xfId="0" applyBorder="1" applyAlignment="1">
      <alignment horizontal="center" vertical="center"/>
    </xf>
    <xf numFmtId="167" fontId="0" fillId="0" borderId="48" xfId="0" applyNumberFormat="1" applyBorder="1" applyAlignment="1">
      <alignment horizontal="center" vertical="center"/>
    </xf>
    <xf numFmtId="167" fontId="0" fillId="0" borderId="22" xfId="0" applyNumberFormat="1" applyBorder="1" applyAlignment="1">
      <alignment horizontal="center" vertical="center"/>
    </xf>
    <xf numFmtId="0" fontId="0" fillId="0" borderId="63" xfId="0" applyNumberFormat="1" applyBorder="1" applyAlignment="1">
      <alignment horizontal="center" vertical="center"/>
    </xf>
    <xf numFmtId="167" fontId="0" fillId="0" borderId="63" xfId="0" applyNumberForma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67" fontId="0" fillId="0" borderId="47" xfId="0" applyNumberFormat="1" applyBorder="1" applyAlignment="1">
      <alignment horizontal="center" vertical="center"/>
    </xf>
    <xf numFmtId="0" fontId="8" fillId="7" borderId="28" xfId="0" applyFont="1" applyFill="1" applyBorder="1"/>
    <xf numFmtId="167" fontId="8" fillId="7" borderId="4" xfId="0" applyNumberFormat="1" applyFont="1" applyFill="1" applyBorder="1" applyAlignment="1">
      <alignment horizontal="center" vertical="center"/>
    </xf>
    <xf numFmtId="167" fontId="8" fillId="7" borderId="43" xfId="0" applyNumberFormat="1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167" fontId="8" fillId="7" borderId="41" xfId="0" applyNumberFormat="1" applyFont="1" applyFill="1" applyBorder="1" applyAlignment="1">
      <alignment horizontal="center"/>
    </xf>
    <xf numFmtId="167" fontId="8" fillId="7" borderId="19" xfId="0" applyNumberFormat="1" applyFont="1" applyFill="1" applyBorder="1" applyAlignment="1">
      <alignment horizontal="center"/>
    </xf>
    <xf numFmtId="167" fontId="8" fillId="7" borderId="42" xfId="0" applyNumberFormat="1" applyFont="1" applyFill="1" applyBorder="1" applyAlignment="1">
      <alignment horizontal="center"/>
    </xf>
    <xf numFmtId="167" fontId="8" fillId="7" borderId="14" xfId="0" applyNumberFormat="1" applyFont="1" applyFill="1" applyBorder="1" applyAlignment="1">
      <alignment horizontal="center"/>
    </xf>
    <xf numFmtId="167" fontId="8" fillId="7" borderId="28" xfId="0" applyNumberFormat="1" applyFont="1" applyFill="1" applyBorder="1" applyAlignment="1">
      <alignment horizontal="center"/>
    </xf>
    <xf numFmtId="0" fontId="8" fillId="8" borderId="44" xfId="0" applyFont="1" applyFill="1" applyBorder="1" applyAlignment="1">
      <alignment horizontal="center"/>
    </xf>
    <xf numFmtId="0" fontId="8" fillId="8" borderId="51" xfId="0" applyFont="1" applyFill="1" applyBorder="1" applyAlignment="1">
      <alignment horizontal="center" vertical="center"/>
    </xf>
    <xf numFmtId="0" fontId="8" fillId="8" borderId="51" xfId="0" applyFont="1" applyFill="1" applyBorder="1" applyAlignment="1">
      <alignment horizontal="center"/>
    </xf>
    <xf numFmtId="167" fontId="8" fillId="8" borderId="51" xfId="0" applyNumberFormat="1" applyFont="1" applyFill="1" applyBorder="1" applyAlignment="1">
      <alignment horizontal="center" vertical="center"/>
    </xf>
    <xf numFmtId="167" fontId="8" fillId="8" borderId="45" xfId="0" applyNumberFormat="1" applyFont="1" applyFill="1" applyBorder="1" applyAlignment="1">
      <alignment horizontal="center"/>
    </xf>
    <xf numFmtId="167" fontId="8" fillId="8" borderId="28" xfId="0" applyNumberFormat="1" applyFont="1" applyFill="1" applyBorder="1" applyAlignment="1">
      <alignment horizontal="center"/>
    </xf>
    <xf numFmtId="167" fontId="8" fillId="8" borderId="46" xfId="0" applyNumberFormat="1" applyFont="1" applyFill="1" applyBorder="1" applyAlignment="1">
      <alignment horizontal="center"/>
    </xf>
    <xf numFmtId="167" fontId="8" fillId="8" borderId="14" xfId="0" applyNumberFormat="1" applyFont="1" applyFill="1" applyBorder="1" applyAlignment="1">
      <alignment horizontal="center"/>
    </xf>
    <xf numFmtId="0" fontId="8" fillId="8" borderId="46" xfId="0" applyFont="1" applyFill="1" applyBorder="1" applyAlignment="1">
      <alignment horizontal="center"/>
    </xf>
    <xf numFmtId="3" fontId="36" fillId="8" borderId="41" xfId="0" applyNumberFormat="1" applyFont="1" applyFill="1" applyBorder="1" applyAlignment="1">
      <alignment horizontal="center" vertical="center"/>
    </xf>
    <xf numFmtId="167" fontId="8" fillId="8" borderId="19" xfId="0" applyNumberFormat="1" applyFont="1" applyFill="1" applyBorder="1" applyAlignment="1">
      <alignment horizontal="center"/>
    </xf>
    <xf numFmtId="167" fontId="8" fillId="8" borderId="43" xfId="0" applyNumberFormat="1" applyFont="1" applyFill="1" applyBorder="1" applyAlignment="1">
      <alignment horizontal="center"/>
    </xf>
    <xf numFmtId="167" fontId="8" fillId="8" borderId="42" xfId="0" applyNumberFormat="1" applyFont="1" applyFill="1" applyBorder="1" applyAlignment="1">
      <alignment horizontal="center"/>
    </xf>
    <xf numFmtId="0" fontId="8" fillId="8" borderId="43" xfId="0" applyFont="1" applyFill="1" applyBorder="1" applyAlignment="1">
      <alignment horizontal="center"/>
    </xf>
    <xf numFmtId="4" fontId="8" fillId="8" borderId="48" xfId="0" applyNumberFormat="1" applyFont="1" applyFill="1" applyBorder="1" applyAlignment="1">
      <alignment horizontal="center" vertical="center"/>
    </xf>
    <xf numFmtId="167" fontId="8" fillId="8" borderId="49" xfId="0" applyNumberFormat="1" applyFont="1" applyFill="1" applyBorder="1" applyAlignment="1">
      <alignment horizontal="center"/>
    </xf>
    <xf numFmtId="4" fontId="8" fillId="8" borderId="63" xfId="0" applyNumberFormat="1" applyFont="1" applyFill="1" applyBorder="1" applyAlignment="1">
      <alignment horizontal="center" vertical="center"/>
    </xf>
    <xf numFmtId="4" fontId="8" fillId="8" borderId="14" xfId="0" applyNumberFormat="1" applyFont="1" applyFill="1" applyBorder="1" applyAlignment="1">
      <alignment horizontal="center" vertical="center"/>
    </xf>
    <xf numFmtId="0" fontId="8" fillId="8" borderId="49" xfId="0" applyFont="1" applyFill="1" applyBorder="1" applyAlignment="1">
      <alignment horizontal="center"/>
    </xf>
    <xf numFmtId="4" fontId="8" fillId="8" borderId="49" xfId="0" applyNumberFormat="1" applyFont="1" applyFill="1" applyBorder="1" applyAlignment="1">
      <alignment horizontal="center" vertical="center"/>
    </xf>
    <xf numFmtId="167" fontId="8" fillId="8" borderId="51" xfId="0" applyNumberFormat="1" applyFont="1" applyFill="1" applyBorder="1" applyAlignment="1">
      <alignment horizontal="center"/>
    </xf>
    <xf numFmtId="167" fontId="8" fillId="8" borderId="44" xfId="0" applyNumberFormat="1" applyFont="1" applyFill="1" applyBorder="1" applyAlignment="1">
      <alignment horizontal="center"/>
    </xf>
    <xf numFmtId="167" fontId="8" fillId="8" borderId="41" xfId="0" applyNumberFormat="1" applyFont="1" applyFill="1" applyBorder="1" applyAlignment="1">
      <alignment horizontal="center"/>
    </xf>
    <xf numFmtId="0" fontId="8" fillId="8" borderId="28" xfId="0" applyFont="1" applyFill="1" applyBorder="1" applyAlignment="1">
      <alignment horizontal="center"/>
    </xf>
    <xf numFmtId="4" fontId="8" fillId="8" borderId="45" xfId="0" applyNumberFormat="1" applyFont="1" applyFill="1" applyBorder="1" applyAlignment="1">
      <alignment horizontal="center" vertical="center"/>
    </xf>
    <xf numFmtId="4" fontId="8" fillId="8" borderId="59" xfId="0" applyNumberFormat="1" applyFont="1" applyFill="1" applyBorder="1" applyAlignment="1">
      <alignment horizontal="center" vertical="center"/>
    </xf>
    <xf numFmtId="4" fontId="8" fillId="8" borderId="44" xfId="0" applyNumberFormat="1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/>
    </xf>
    <xf numFmtId="4" fontId="8" fillId="8" borderId="46" xfId="0" applyNumberFormat="1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/>
    </xf>
    <xf numFmtId="0" fontId="0" fillId="8" borderId="26" xfId="0" applyFill="1" applyBorder="1"/>
    <xf numFmtId="167" fontId="0" fillId="8" borderId="26" xfId="0" applyNumberFormat="1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10" fontId="37" fillId="8" borderId="41" xfId="0" applyNumberFormat="1" applyFont="1" applyFill="1" applyBorder="1" applyAlignment="1">
      <alignment horizontal="center" vertical="center"/>
    </xf>
    <xf numFmtId="10" fontId="37" fillId="8" borderId="28" xfId="0" applyNumberFormat="1" applyFont="1" applyFill="1" applyBorder="1" applyAlignment="1">
      <alignment horizontal="center" vertical="center"/>
    </xf>
    <xf numFmtId="10" fontId="37" fillId="8" borderId="43" xfId="0" applyNumberFormat="1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 wrapText="1"/>
    </xf>
    <xf numFmtId="0" fontId="0" fillId="8" borderId="67" xfId="0" applyFill="1" applyBorder="1" applyAlignment="1">
      <alignment horizontal="center" vertical="center"/>
    </xf>
    <xf numFmtId="0" fontId="0" fillId="8" borderId="64" xfId="0" applyFill="1" applyBorder="1"/>
    <xf numFmtId="167" fontId="0" fillId="8" borderId="64" xfId="0" applyNumberFormat="1" applyFill="1" applyBorder="1" applyAlignment="1">
      <alignment horizontal="center" vertical="center"/>
    </xf>
    <xf numFmtId="0" fontId="0" fillId="8" borderId="66" xfId="0" applyFill="1" applyBorder="1" applyAlignment="1">
      <alignment horizontal="center" vertical="center"/>
    </xf>
    <xf numFmtId="10" fontId="37" fillId="8" borderId="48" xfId="0" applyNumberFormat="1" applyFont="1" applyFill="1" applyBorder="1" applyAlignment="1">
      <alignment horizontal="center" vertical="center"/>
    </xf>
    <xf numFmtId="10" fontId="37" fillId="8" borderId="47" xfId="0" applyNumberFormat="1" applyFont="1" applyFill="1" applyBorder="1" applyAlignment="1">
      <alignment horizontal="center" vertical="center"/>
    </xf>
    <xf numFmtId="10" fontId="37" fillId="8" borderId="49" xfId="0" applyNumberFormat="1" applyFont="1" applyFill="1" applyBorder="1" applyAlignment="1">
      <alignment horizontal="center" vertical="center"/>
    </xf>
    <xf numFmtId="164" fontId="12" fillId="3" borderId="12" xfId="4" applyNumberFormat="1" applyFont="1" applyFill="1" applyBorder="1"/>
    <xf numFmtId="0" fontId="11" fillId="3" borderId="0" xfId="4" applyFont="1" applyFill="1"/>
    <xf numFmtId="0" fontId="12" fillId="0" borderId="12" xfId="4" applyFont="1" applyBorder="1" applyAlignment="1">
      <alignment horizontal="center" vertical="center"/>
    </xf>
    <xf numFmtId="42" fontId="10" fillId="2" borderId="12" xfId="4" applyNumberFormat="1" applyFont="1" applyFill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3" fontId="10" fillId="0" borderId="12" xfId="4" applyNumberFormat="1" applyFont="1" applyBorder="1" applyAlignment="1">
      <alignment horizontal="center" vertical="center"/>
    </xf>
    <xf numFmtId="164" fontId="10" fillId="0" borderId="12" xfId="4" applyNumberFormat="1" applyFont="1" applyBorder="1" applyAlignment="1">
      <alignment horizontal="center" vertical="center"/>
    </xf>
    <xf numFmtId="164" fontId="11" fillId="0" borderId="12" xfId="4" applyNumberFormat="1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165" fontId="11" fillId="0" borderId="12" xfId="5" applyNumberFormat="1" applyFont="1" applyBorder="1" applyAlignment="1">
      <alignment horizontal="center" vertical="center"/>
    </xf>
    <xf numFmtId="42" fontId="10" fillId="0" borderId="12" xfId="4" applyNumberFormat="1" applyFont="1" applyBorder="1" applyAlignment="1">
      <alignment horizontal="center" vertical="center"/>
    </xf>
    <xf numFmtId="164" fontId="12" fillId="3" borderId="12" xfId="4" applyNumberFormat="1" applyFont="1" applyFill="1" applyBorder="1" applyAlignment="1">
      <alignment horizontal="center" vertical="center"/>
    </xf>
    <xf numFmtId="164" fontId="13" fillId="3" borderId="12" xfId="4" applyNumberFormat="1" applyFont="1" applyFill="1" applyBorder="1" applyAlignment="1">
      <alignment horizontal="center" vertical="center"/>
    </xf>
    <xf numFmtId="42" fontId="11" fillId="2" borderId="12" xfId="4" applyNumberFormat="1" applyFont="1" applyFill="1" applyBorder="1" applyAlignment="1">
      <alignment horizontal="center" vertical="center"/>
    </xf>
    <xf numFmtId="164" fontId="11" fillId="2" borderId="12" xfId="4" applyNumberFormat="1" applyFont="1" applyFill="1" applyBorder="1" applyAlignment="1">
      <alignment horizontal="center" vertical="center"/>
    </xf>
    <xf numFmtId="165" fontId="11" fillId="0" borderId="12" xfId="4" applyNumberFormat="1" applyFont="1" applyBorder="1" applyAlignment="1">
      <alignment horizontal="center" vertical="center"/>
    </xf>
    <xf numFmtId="165" fontId="11" fillId="2" borderId="12" xfId="4" applyNumberFormat="1" applyFont="1" applyFill="1" applyBorder="1" applyAlignment="1">
      <alignment horizontal="center" vertical="center"/>
    </xf>
    <xf numFmtId="42" fontId="11" fillId="0" borderId="12" xfId="4" applyNumberFormat="1" applyFont="1" applyBorder="1" applyAlignment="1">
      <alignment horizontal="center" vertical="center"/>
    </xf>
    <xf numFmtId="42" fontId="13" fillId="3" borderId="12" xfId="4" applyNumberFormat="1" applyFont="1" applyFill="1" applyBorder="1" applyAlignment="1">
      <alignment horizontal="center" vertical="center"/>
    </xf>
    <xf numFmtId="164" fontId="13" fillId="4" borderId="12" xfId="4" applyNumberFormat="1" applyFont="1" applyFill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4" fontId="2" fillId="0" borderId="11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horizontal="left" wrapText="1"/>
    </xf>
    <xf numFmtId="0" fontId="15" fillId="0" borderId="12" xfId="4" applyFont="1" applyBorder="1" applyAlignment="1">
      <alignment horizontal="right" wrapText="1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10" fontId="5" fillId="0" borderId="14" xfId="3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4" fontId="2" fillId="0" borderId="15" xfId="2" applyNumberFormat="1" applyFont="1" applyFill="1" applyBorder="1" applyAlignment="1">
      <alignment horizontal="center" vertical="center"/>
    </xf>
    <xf numFmtId="4" fontId="2" fillId="0" borderId="12" xfId="2" applyNumberFormat="1" applyFont="1" applyFill="1" applyBorder="1" applyAlignment="1">
      <alignment horizontal="center" vertical="center"/>
    </xf>
    <xf numFmtId="4" fontId="2" fillId="0" borderId="13" xfId="2" applyNumberFormat="1" applyFont="1" applyFill="1" applyBorder="1" applyAlignment="1">
      <alignment horizontal="center" vertical="center"/>
    </xf>
    <xf numFmtId="4" fontId="3" fillId="0" borderId="15" xfId="3" applyNumberFormat="1" applyFont="1" applyFill="1" applyBorder="1" applyAlignment="1">
      <alignment horizontal="center" vertical="center"/>
    </xf>
    <xf numFmtId="4" fontId="3" fillId="0" borderId="12" xfId="3" applyNumberFormat="1" applyFont="1" applyFill="1" applyBorder="1" applyAlignment="1">
      <alignment horizontal="center" vertical="center"/>
    </xf>
    <xf numFmtId="4" fontId="3" fillId="0" borderId="13" xfId="3" applyNumberFormat="1" applyFont="1" applyFill="1" applyBorder="1" applyAlignment="1">
      <alignment horizontal="center" vertical="center"/>
    </xf>
    <xf numFmtId="4" fontId="2" fillId="0" borderId="15" xfId="3" applyNumberFormat="1" applyFont="1" applyFill="1" applyBorder="1" applyAlignment="1">
      <alignment horizontal="center" vertical="center"/>
    </xf>
    <xf numFmtId="4" fontId="2" fillId="0" borderId="12" xfId="3" applyNumberFormat="1" applyFont="1" applyFill="1" applyBorder="1" applyAlignment="1">
      <alignment horizontal="center" vertical="center"/>
    </xf>
    <xf numFmtId="4" fontId="2" fillId="0" borderId="13" xfId="3" applyNumberFormat="1" applyFont="1" applyFill="1" applyBorder="1" applyAlignment="1">
      <alignment horizontal="center" vertical="center"/>
    </xf>
    <xf numFmtId="4" fontId="3" fillId="0" borderId="14" xfId="3" applyNumberFormat="1" applyFont="1" applyFill="1" applyBorder="1" applyAlignment="1">
      <alignment horizontal="center" vertical="center"/>
    </xf>
    <xf numFmtId="10" fontId="2" fillId="0" borderId="15" xfId="3" applyNumberFormat="1" applyFont="1" applyFill="1" applyBorder="1" applyAlignment="1">
      <alignment horizontal="center" vertical="center"/>
    </xf>
    <xf numFmtId="10" fontId="2" fillId="0" borderId="12" xfId="3" applyNumberFormat="1" applyFont="1" applyFill="1" applyBorder="1" applyAlignment="1">
      <alignment horizontal="center" vertical="center"/>
    </xf>
    <xf numFmtId="10" fontId="2" fillId="0" borderId="13" xfId="3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3" fillId="0" borderId="10" xfId="3" applyNumberFormat="1" applyFont="1" applyFill="1" applyBorder="1" applyAlignment="1">
      <alignment horizontal="center" vertical="center"/>
    </xf>
    <xf numFmtId="10" fontId="3" fillId="0" borderId="7" xfId="3" applyNumberFormat="1" applyFont="1" applyFill="1" applyBorder="1" applyAlignment="1">
      <alignment horizontal="center" vertical="center"/>
    </xf>
    <xf numFmtId="10" fontId="3" fillId="0" borderId="8" xfId="3" applyNumberFormat="1" applyFont="1" applyFill="1" applyBorder="1" applyAlignment="1">
      <alignment horizontal="center" vertical="center"/>
    </xf>
    <xf numFmtId="4" fontId="3" fillId="0" borderId="19" xfId="1" applyNumberFormat="1" applyFont="1" applyFill="1" applyBorder="1" applyAlignment="1">
      <alignment horizontal="center" vertical="center"/>
    </xf>
    <xf numFmtId="4" fontId="3" fillId="0" borderId="20" xfId="1" applyNumberFormat="1" applyFont="1" applyFill="1" applyBorder="1" applyAlignment="1">
      <alignment horizontal="center" vertical="center"/>
    </xf>
    <xf numFmtId="4" fontId="3" fillId="0" borderId="17" xfId="1" applyNumberFormat="1" applyFont="1" applyFill="1" applyBorder="1" applyAlignment="1">
      <alignment horizontal="center" vertical="center"/>
    </xf>
    <xf numFmtId="4" fontId="3" fillId="0" borderId="18" xfId="1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0" fontId="3" fillId="0" borderId="9" xfId="3" applyNumberFormat="1" applyFont="1" applyFill="1" applyBorder="1" applyAlignment="1">
      <alignment horizontal="center" vertical="center"/>
    </xf>
    <xf numFmtId="10" fontId="2" fillId="0" borderId="33" xfId="3" applyNumberFormat="1" applyFont="1" applyFill="1" applyBorder="1" applyAlignment="1">
      <alignment horizontal="center" vertical="center"/>
    </xf>
    <xf numFmtId="10" fontId="2" fillId="0" borderId="34" xfId="3" applyNumberFormat="1" applyFont="1" applyFill="1" applyBorder="1" applyAlignment="1">
      <alignment horizontal="center" vertical="center"/>
    </xf>
    <xf numFmtId="10" fontId="2" fillId="0" borderId="31" xfId="3" applyNumberFormat="1" applyFont="1" applyFill="1" applyBorder="1" applyAlignment="1">
      <alignment horizontal="center" vertical="center"/>
    </xf>
    <xf numFmtId="10" fontId="2" fillId="0" borderId="32" xfId="3" applyNumberFormat="1" applyFont="1" applyFill="1" applyBorder="1" applyAlignment="1">
      <alignment horizontal="center" vertical="center"/>
    </xf>
    <xf numFmtId="10" fontId="3" fillId="0" borderId="33" xfId="3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35" xfId="0" applyNumberFormat="1" applyFon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37" xfId="0" applyNumberFormat="1" applyFont="1" applyFill="1" applyBorder="1" applyAlignment="1">
      <alignment horizontal="center" vertical="center"/>
    </xf>
    <xf numFmtId="4" fontId="40" fillId="0" borderId="0" xfId="0" applyNumberFormat="1" applyFont="1"/>
    <xf numFmtId="0" fontId="0" fillId="0" borderId="0" xfId="6" applyFont="1" applyAlignment="1">
      <alignment horizontal="center"/>
    </xf>
    <xf numFmtId="0" fontId="1" fillId="0" borderId="0" xfId="6" applyAlignment="1">
      <alignment horizontal="center"/>
    </xf>
    <xf numFmtId="4" fontId="3" fillId="0" borderId="5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left" vertical="center"/>
    </xf>
    <xf numFmtId="4" fontId="43" fillId="0" borderId="21" xfId="0" applyNumberFormat="1" applyFont="1" applyFill="1" applyBorder="1" applyAlignment="1">
      <alignment horizontal="left" vertical="center" wrapText="1"/>
    </xf>
    <xf numFmtId="167" fontId="8" fillId="4" borderId="43" xfId="0" applyNumberFormat="1" applyFont="1" applyFill="1" applyBorder="1" applyAlignment="1">
      <alignment horizontal="center"/>
    </xf>
    <xf numFmtId="4" fontId="3" fillId="2" borderId="11" xfId="0" applyNumberFormat="1" applyFont="1" applyFill="1" applyBorder="1"/>
    <xf numFmtId="4" fontId="2" fillId="2" borderId="12" xfId="0" applyNumberFormat="1" applyFont="1" applyFill="1" applyBorder="1" applyAlignment="1">
      <alignment horizontal="center" vertical="center"/>
    </xf>
    <xf numFmtId="4" fontId="2" fillId="2" borderId="36" xfId="0" applyNumberFormat="1" applyFont="1" applyFill="1" applyBorder="1" applyAlignment="1">
      <alignment horizontal="center" vertical="center"/>
    </xf>
    <xf numFmtId="10" fontId="3" fillId="2" borderId="0" xfId="0" applyNumberFormat="1" applyFont="1" applyFill="1"/>
    <xf numFmtId="4" fontId="2" fillId="2" borderId="0" xfId="0" applyNumberFormat="1" applyFont="1" applyFill="1"/>
    <xf numFmtId="4" fontId="3" fillId="2" borderId="12" xfId="0" applyNumberFormat="1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/>
    </xf>
    <xf numFmtId="4" fontId="2" fillId="0" borderId="56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12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4" fontId="2" fillId="2" borderId="13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" fontId="2" fillId="2" borderId="11" xfId="0" applyNumberFormat="1" applyFont="1" applyFill="1" applyBorder="1"/>
    <xf numFmtId="4" fontId="3" fillId="2" borderId="11" xfId="0" applyNumberFormat="1" applyFont="1" applyFill="1" applyBorder="1" applyAlignment="1">
      <alignment horizontal="left"/>
    </xf>
    <xf numFmtId="4" fontId="3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10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0" fontId="3" fillId="2" borderId="6" xfId="0" applyNumberFormat="1" applyFont="1" applyFill="1" applyBorder="1"/>
    <xf numFmtId="10" fontId="3" fillId="2" borderId="7" xfId="3" applyNumberFormat="1" applyFont="1" applyFill="1" applyBorder="1"/>
    <xf numFmtId="10" fontId="3" fillId="2" borderId="8" xfId="3" applyNumberFormat="1" applyFont="1" applyFill="1" applyBorder="1"/>
    <xf numFmtId="10" fontId="3" fillId="2" borderId="9" xfId="3" applyNumberFormat="1" applyFont="1" applyFill="1" applyBorder="1" applyAlignment="1">
      <alignment horizontal="center" vertical="center"/>
    </xf>
    <xf numFmtId="10" fontId="3" fillId="2" borderId="10" xfId="3" applyNumberFormat="1" applyFont="1" applyFill="1" applyBorder="1" applyAlignment="1">
      <alignment horizontal="center" vertical="center"/>
    </xf>
    <xf numFmtId="10" fontId="3" fillId="2" borderId="7" xfId="3" applyNumberFormat="1" applyFont="1" applyFill="1" applyBorder="1" applyAlignment="1">
      <alignment horizontal="center" vertical="center"/>
    </xf>
    <xf numFmtId="0" fontId="11" fillId="2" borderId="0" xfId="4" applyFont="1" applyFill="1" applyAlignment="1">
      <alignment horizontal="center" vertical="center"/>
    </xf>
    <xf numFmtId="164" fontId="11" fillId="2" borderId="0" xfId="4" applyNumberFormat="1" applyFont="1" applyFill="1" applyAlignment="1">
      <alignment horizontal="center" vertical="center"/>
    </xf>
    <xf numFmtId="165" fontId="11" fillId="2" borderId="0" xfId="4" applyNumberFormat="1" applyFont="1" applyFill="1" applyAlignment="1">
      <alignment horizontal="center" vertical="center"/>
    </xf>
    <xf numFmtId="42" fontId="11" fillId="2" borderId="0" xfId="4" applyNumberFormat="1" applyFont="1" applyFill="1" applyAlignment="1">
      <alignment horizontal="center" vertical="center"/>
    </xf>
    <xf numFmtId="4" fontId="4" fillId="0" borderId="14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10" fillId="0" borderId="12" xfId="4" applyFont="1" applyBorder="1" applyAlignment="1">
      <alignment horizontal="center"/>
    </xf>
    <xf numFmtId="0" fontId="12" fillId="0" borderId="12" xfId="4" applyFont="1" applyBorder="1" applyAlignment="1">
      <alignment horizontal="center" readingOrder="1"/>
    </xf>
    <xf numFmtId="0" fontId="19" fillId="5" borderId="45" xfId="6" applyFont="1" applyFill="1" applyBorder="1" applyAlignment="1">
      <alignment horizontal="center" vertical="top" wrapText="1"/>
    </xf>
    <xf numFmtId="0" fontId="19" fillId="5" borderId="46" xfId="6" applyFont="1" applyFill="1" applyBorder="1" applyAlignment="1">
      <alignment horizontal="center" vertical="top" wrapText="1"/>
    </xf>
    <xf numFmtId="0" fontId="19" fillId="5" borderId="48" xfId="6" applyFont="1" applyFill="1" applyBorder="1" applyAlignment="1">
      <alignment horizontal="center" vertical="top" wrapText="1"/>
    </xf>
    <xf numFmtId="0" fontId="19" fillId="5" borderId="49" xfId="6" applyFont="1" applyFill="1" applyBorder="1" applyAlignment="1">
      <alignment horizontal="center" vertical="top" wrapText="1"/>
    </xf>
    <xf numFmtId="0" fontId="19" fillId="5" borderId="22" xfId="6" applyFont="1" applyFill="1" applyBorder="1" applyAlignment="1">
      <alignment horizontal="center" vertical="center" wrapText="1"/>
    </xf>
    <xf numFmtId="0" fontId="23" fillId="5" borderId="1" xfId="6" applyFont="1" applyFill="1" applyBorder="1" applyAlignment="1">
      <alignment vertical="center" wrapText="1"/>
    </xf>
    <xf numFmtId="0" fontId="23" fillId="5" borderId="11" xfId="6" applyFont="1" applyFill="1" applyBorder="1" applyAlignment="1">
      <alignment vertical="center" wrapText="1"/>
    </xf>
    <xf numFmtId="0" fontId="23" fillId="5" borderId="6" xfId="6" applyFont="1" applyFill="1" applyBorder="1" applyAlignment="1">
      <alignment vertical="center" wrapText="1"/>
    </xf>
    <xf numFmtId="0" fontId="23" fillId="5" borderId="2" xfId="6" applyFont="1" applyFill="1" applyBorder="1" applyAlignment="1">
      <alignment vertical="center" wrapText="1"/>
    </xf>
    <xf numFmtId="0" fontId="23" fillId="5" borderId="12" xfId="6" applyFont="1" applyFill="1" applyBorder="1" applyAlignment="1">
      <alignment vertical="center" wrapText="1"/>
    </xf>
    <xf numFmtId="0" fontId="23" fillId="5" borderId="7" xfId="6" applyFont="1" applyFill="1" applyBorder="1" applyAlignment="1">
      <alignment vertical="center" wrapText="1"/>
    </xf>
    <xf numFmtId="0" fontId="23" fillId="5" borderId="38" xfId="6" applyFont="1" applyFill="1" applyBorder="1" applyAlignment="1">
      <alignment vertical="center" wrapText="1"/>
    </xf>
    <xf numFmtId="0" fontId="23" fillId="5" borderId="39" xfId="6" applyFont="1" applyFill="1" applyBorder="1" applyAlignment="1">
      <alignment vertical="center" wrapText="1"/>
    </xf>
    <xf numFmtId="0" fontId="23" fillId="5" borderId="40" xfId="6" applyFont="1" applyFill="1" applyBorder="1" applyAlignment="1">
      <alignment vertical="center" wrapText="1"/>
    </xf>
    <xf numFmtId="0" fontId="29" fillId="5" borderId="1" xfId="6" applyFont="1" applyFill="1" applyBorder="1" applyAlignment="1">
      <alignment vertical="center" wrapText="1"/>
    </xf>
    <xf numFmtId="0" fontId="29" fillId="5" borderId="11" xfId="6" applyFont="1" applyFill="1" applyBorder="1" applyAlignment="1">
      <alignment vertical="center" wrapText="1"/>
    </xf>
    <xf numFmtId="0" fontId="29" fillId="5" borderId="6" xfId="6" applyFont="1" applyFill="1" applyBorder="1" applyAlignment="1">
      <alignment vertical="center" wrapText="1"/>
    </xf>
    <xf numFmtId="0" fontId="19" fillId="5" borderId="44" xfId="6" applyFont="1" applyFill="1" applyBorder="1" applyAlignment="1">
      <alignment horizontal="center" wrapText="1"/>
    </xf>
    <xf numFmtId="0" fontId="19" fillId="5" borderId="47" xfId="6" applyFont="1" applyFill="1" applyBorder="1" applyAlignment="1">
      <alignment horizontal="center" wrapText="1"/>
    </xf>
    <xf numFmtId="0" fontId="23" fillId="5" borderId="44" xfId="6" applyFont="1" applyFill="1" applyBorder="1" applyAlignment="1">
      <alignment vertical="top" wrapText="1"/>
    </xf>
    <xf numFmtId="0" fontId="23" fillId="5" borderId="19" xfId="6" applyFont="1" applyFill="1" applyBorder="1" applyAlignment="1">
      <alignment vertical="top" wrapText="1"/>
    </xf>
    <xf numFmtId="0" fontId="23" fillId="5" borderId="47" xfId="6" applyFont="1" applyFill="1" applyBorder="1" applyAlignment="1">
      <alignment vertical="top" wrapText="1"/>
    </xf>
    <xf numFmtId="0" fontId="23" fillId="5" borderId="44" xfId="6" applyFont="1" applyFill="1" applyBorder="1" applyAlignment="1">
      <alignment horizontal="center" wrapText="1"/>
    </xf>
    <xf numFmtId="0" fontId="23" fillId="5" borderId="19" xfId="6" applyFont="1" applyFill="1" applyBorder="1" applyAlignment="1">
      <alignment horizontal="center" wrapText="1"/>
    </xf>
    <xf numFmtId="0" fontId="23" fillId="5" borderId="47" xfId="6" applyFont="1" applyFill="1" applyBorder="1" applyAlignment="1">
      <alignment horizontal="center" wrapText="1"/>
    </xf>
    <xf numFmtId="0" fontId="22" fillId="5" borderId="44" xfId="6" applyFont="1" applyFill="1" applyBorder="1" applyAlignment="1">
      <alignment vertical="top" wrapText="1"/>
    </xf>
    <xf numFmtId="0" fontId="22" fillId="5" borderId="19" xfId="6" applyFont="1" applyFill="1" applyBorder="1" applyAlignment="1">
      <alignment vertical="top" wrapText="1"/>
    </xf>
    <xf numFmtId="0" fontId="22" fillId="5" borderId="47" xfId="6" applyFont="1" applyFill="1" applyBorder="1" applyAlignment="1">
      <alignment vertical="top" wrapText="1"/>
    </xf>
    <xf numFmtId="0" fontId="23" fillId="5" borderId="41" xfId="6" applyFont="1" applyFill="1" applyBorder="1" applyAlignment="1">
      <alignment horizontal="right" wrapText="1"/>
    </xf>
    <xf numFmtId="0" fontId="23" fillId="5" borderId="43" xfId="6" applyFont="1" applyFill="1" applyBorder="1" applyAlignment="1">
      <alignment horizontal="right" wrapText="1"/>
    </xf>
    <xf numFmtId="0" fontId="23" fillId="5" borderId="41" xfId="6" applyFont="1" applyFill="1" applyBorder="1" applyAlignment="1">
      <alignment horizontal="right" vertical="top" wrapText="1"/>
    </xf>
    <xf numFmtId="0" fontId="23" fillId="5" borderId="43" xfId="6" applyFont="1" applyFill="1" applyBorder="1" applyAlignment="1">
      <alignment horizontal="right" vertical="top" wrapText="1"/>
    </xf>
    <xf numFmtId="4" fontId="23" fillId="5" borderId="41" xfId="6" applyNumberFormat="1" applyFont="1" applyFill="1" applyBorder="1" applyAlignment="1">
      <alignment horizontal="right" wrapText="1"/>
    </xf>
    <xf numFmtId="4" fontId="23" fillId="5" borderId="43" xfId="6" applyNumberFormat="1" applyFont="1" applyFill="1" applyBorder="1" applyAlignment="1">
      <alignment horizontal="right" wrapText="1"/>
    </xf>
    <xf numFmtId="0" fontId="32" fillId="5" borderId="12" xfId="6" applyFont="1" applyFill="1" applyBorder="1" applyAlignment="1">
      <alignment horizontal="center" vertical="center" wrapText="1"/>
    </xf>
    <xf numFmtId="0" fontId="30" fillId="0" borderId="51" xfId="6" applyFont="1" applyBorder="1" applyAlignment="1">
      <alignment horizontal="left"/>
    </xf>
    <xf numFmtId="0" fontId="30" fillId="0" borderId="0" xfId="6" applyFont="1" applyAlignment="1">
      <alignment horizontal="left"/>
    </xf>
    <xf numFmtId="0" fontId="8" fillId="6" borderId="4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34" fillId="0" borderId="41" xfId="0" applyNumberFormat="1" applyFont="1" applyBorder="1" applyAlignment="1">
      <alignment horizontal="center" vertical="center"/>
    </xf>
    <xf numFmtId="0" fontId="34" fillId="0" borderId="42" xfId="0" applyNumberFormat="1" applyFont="1" applyBorder="1" applyAlignment="1">
      <alignment horizontal="center" vertical="center"/>
    </xf>
    <xf numFmtId="0" fontId="34" fillId="0" borderId="43" xfId="0" applyNumberFormat="1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/>
    <xf numFmtId="0" fontId="0" fillId="0" borderId="48" xfId="0" applyBorder="1" applyAlignment="1"/>
  </cellXfs>
  <cellStyles count="10">
    <cellStyle name="Денежный" xfId="2" builtinId="4"/>
    <cellStyle name="Денежный 2" xfId="5"/>
    <cellStyle name="Обычный" xfId="0" builtinId="0"/>
    <cellStyle name="Обычный 2" xfId="4"/>
    <cellStyle name="Обычный 3" xfId="6"/>
    <cellStyle name="Процентный" xfId="3" builtinId="5"/>
    <cellStyle name="Финансовый" xfId="1" builtinId="3"/>
    <cellStyle name="Финансовый 2" xfId="7"/>
    <cellStyle name="Финансовый 3" xfId="8"/>
    <cellStyle name="Финансовый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1;&#1090;&#1072;&#1087;%202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 месяцев"/>
      <sheetName val="сейчас"/>
      <sheetName val="Синергия"/>
      <sheetName val="Мини-офис 1 год"/>
      <sheetName val="Мини-офис 2 года"/>
      <sheetName val="расходы"/>
    </sheetNames>
    <sheetDataSet>
      <sheetData sheetId="0"/>
      <sheetData sheetId="1"/>
      <sheetData sheetId="2"/>
      <sheetData sheetId="3"/>
      <sheetData sheetId="4"/>
      <sheetData sheetId="5">
        <row r="12">
          <cell r="K12">
            <v>636231.79999999993</v>
          </cell>
          <cell r="L12">
            <v>849131.60000000009</v>
          </cell>
          <cell r="M12">
            <v>1042331.4000000003</v>
          </cell>
          <cell r="N12">
            <v>1208831.3999999999</v>
          </cell>
          <cell r="O12">
            <v>1421331.4</v>
          </cell>
          <cell r="P12">
            <v>1599431.4</v>
          </cell>
          <cell r="Q12">
            <v>1849401.8800000031</v>
          </cell>
          <cell r="R12">
            <v>2024501.88</v>
          </cell>
          <cell r="S12">
            <v>2198601.8799999962</v>
          </cell>
          <cell r="T12">
            <v>2372701.8800000004</v>
          </cell>
          <cell r="U12">
            <v>2531401.879999999</v>
          </cell>
          <cell r="V12">
            <v>2690101.8800000041</v>
          </cell>
          <cell r="W12">
            <v>3166201.8799999948</v>
          </cell>
          <cell r="X12">
            <v>3945701.88</v>
          </cell>
          <cell r="Y12">
            <v>4006853.44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1"/>
  <sheetViews>
    <sheetView tabSelected="1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Z8" sqref="Z8"/>
    </sheetView>
  </sheetViews>
  <sheetFormatPr defaultColWidth="9.140625" defaultRowHeight="12.75" outlineLevelRow="1" outlineLevelCol="1"/>
  <cols>
    <col min="1" max="1" width="52.85546875" style="1" customWidth="1"/>
    <col min="2" max="2" width="14" style="1" hidden="1" customWidth="1" outlineLevel="1"/>
    <col min="3" max="3" width="16.42578125" style="1" hidden="1" customWidth="1" outlineLevel="1"/>
    <col min="4" max="4" width="17.85546875" style="1" hidden="1" customWidth="1" outlineLevel="1"/>
    <col min="5" max="5" width="18.140625" style="1" hidden="1" customWidth="1" outlineLevel="1"/>
    <col min="6" max="6" width="15" style="472" customWidth="1" collapsed="1"/>
    <col min="7" max="7" width="15.7109375" style="473" customWidth="1" outlineLevel="1"/>
    <col min="8" max="8" width="15.85546875" style="473" customWidth="1" outlineLevel="1"/>
    <col min="9" max="9" width="14.28515625" style="473" customWidth="1" outlineLevel="1"/>
    <col min="10" max="10" width="17.85546875" style="473" customWidth="1" outlineLevel="1"/>
    <col min="11" max="11" width="15.7109375" style="472" customWidth="1"/>
    <col min="12" max="12" width="14.7109375" style="473" hidden="1" customWidth="1" outlineLevel="1"/>
    <col min="13" max="13" width="16.85546875" style="473" hidden="1" customWidth="1" outlineLevel="1"/>
    <col min="14" max="14" width="15.85546875" style="473" hidden="1" customWidth="1" outlineLevel="1"/>
    <col min="15" max="15" width="15.42578125" style="473" hidden="1" customWidth="1" outlineLevel="1"/>
    <col min="16" max="16" width="16.7109375" style="472" customWidth="1" collapsed="1"/>
    <col min="17" max="17" width="14.7109375" style="473" hidden="1" customWidth="1" outlineLevel="1"/>
    <col min="18" max="18" width="16.85546875" style="473" hidden="1" customWidth="1" outlineLevel="1"/>
    <col min="19" max="19" width="15.85546875" style="473" hidden="1" customWidth="1" outlineLevel="1"/>
    <col min="20" max="20" width="15.42578125" style="473" hidden="1" customWidth="1" outlineLevel="1"/>
    <col min="21" max="21" width="16.7109375" style="472" customWidth="1" collapsed="1"/>
    <col min="22" max="22" width="14.7109375" style="473" hidden="1" customWidth="1" outlineLevel="1"/>
    <col min="23" max="23" width="16.85546875" style="473" hidden="1" customWidth="1" outlineLevel="1"/>
    <col min="24" max="24" width="15.85546875" style="473" hidden="1" customWidth="1" outlineLevel="1"/>
    <col min="25" max="25" width="15.42578125" style="473" hidden="1" customWidth="1" outlineLevel="1"/>
    <col min="26" max="26" width="16.7109375" style="472" customWidth="1" collapsed="1"/>
    <col min="27" max="16384" width="9.140625" style="1"/>
  </cols>
  <sheetData>
    <row r="1" spans="1:26" ht="13.5" thickBot="1">
      <c r="A1" s="548" t="s">
        <v>239</v>
      </c>
    </row>
    <row r="2" spans="1:26" s="5" customFormat="1">
      <c r="A2" s="605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74" t="s">
        <v>5</v>
      </c>
      <c r="G2" s="475" t="s">
        <v>6</v>
      </c>
      <c r="H2" s="476" t="s">
        <v>7</v>
      </c>
      <c r="I2" s="476" t="s">
        <v>8</v>
      </c>
      <c r="J2" s="477" t="s">
        <v>9</v>
      </c>
      <c r="K2" s="474" t="s">
        <v>10</v>
      </c>
      <c r="L2" s="475" t="s">
        <v>11</v>
      </c>
      <c r="M2" s="476" t="s">
        <v>12</v>
      </c>
      <c r="N2" s="476" t="s">
        <v>13</v>
      </c>
      <c r="O2" s="477" t="s">
        <v>14</v>
      </c>
      <c r="P2" s="474" t="s">
        <v>15</v>
      </c>
      <c r="Q2" s="475" t="s">
        <v>228</v>
      </c>
      <c r="R2" s="476" t="s">
        <v>229</v>
      </c>
      <c r="S2" s="476" t="s">
        <v>230</v>
      </c>
      <c r="T2" s="477" t="s">
        <v>231</v>
      </c>
      <c r="U2" s="474" t="s">
        <v>232</v>
      </c>
      <c r="V2" s="475" t="s">
        <v>233</v>
      </c>
      <c r="W2" s="476" t="s">
        <v>229</v>
      </c>
      <c r="X2" s="476" t="s">
        <v>234</v>
      </c>
      <c r="Y2" s="477" t="s">
        <v>235</v>
      </c>
      <c r="Z2" s="474" t="s">
        <v>236</v>
      </c>
    </row>
    <row r="3" spans="1:26" s="5" customFormat="1" ht="13.5" thickBot="1">
      <c r="A3" s="606"/>
      <c r="B3" s="6" t="s">
        <v>16</v>
      </c>
      <c r="C3" s="6" t="s">
        <v>17</v>
      </c>
      <c r="D3" s="6" t="s">
        <v>17</v>
      </c>
      <c r="E3" s="7" t="s">
        <v>17</v>
      </c>
      <c r="F3" s="478"/>
      <c r="G3" s="479" t="s">
        <v>17</v>
      </c>
      <c r="H3" s="480" t="s">
        <v>17</v>
      </c>
      <c r="I3" s="480" t="s">
        <v>17</v>
      </c>
      <c r="J3" s="481" t="s">
        <v>17</v>
      </c>
      <c r="K3" s="478" t="s">
        <v>17</v>
      </c>
      <c r="L3" s="479" t="s">
        <v>17</v>
      </c>
      <c r="M3" s="480" t="s">
        <v>17</v>
      </c>
      <c r="N3" s="480" t="s">
        <v>17</v>
      </c>
      <c r="O3" s="481" t="s">
        <v>17</v>
      </c>
      <c r="P3" s="478" t="s">
        <v>17</v>
      </c>
      <c r="Q3" s="479" t="s">
        <v>17</v>
      </c>
      <c r="R3" s="480" t="s">
        <v>17</v>
      </c>
      <c r="S3" s="480" t="s">
        <v>17</v>
      </c>
      <c r="T3" s="481" t="s">
        <v>17</v>
      </c>
      <c r="U3" s="478" t="s">
        <v>17</v>
      </c>
      <c r="V3" s="479" t="s">
        <v>17</v>
      </c>
      <c r="W3" s="480" t="s">
        <v>17</v>
      </c>
      <c r="X3" s="480" t="s">
        <v>17</v>
      </c>
      <c r="Y3" s="481" t="s">
        <v>17</v>
      </c>
      <c r="Z3" s="478" t="s">
        <v>17</v>
      </c>
    </row>
    <row r="4" spans="1:26" s="2" customFormat="1" ht="52.5" customHeight="1" outlineLevel="1">
      <c r="A4" s="470" t="str">
        <f>'Синергия_доходы - расходы'!A18</f>
        <v>Пассивы на остаток (Доход 5,5% от остатков на банковском счете активированных клиентов из расчета остатка 100 руб. в мес. у одного активированного клиента * кол-во активированных клиентов)</v>
      </c>
      <c r="B4" s="577">
        <v>0</v>
      </c>
      <c r="C4" s="577">
        <v>0</v>
      </c>
      <c r="D4" s="577">
        <v>0</v>
      </c>
      <c r="E4" s="577">
        <v>0</v>
      </c>
      <c r="F4" s="482">
        <f>SUM(B4:E4)</f>
        <v>0</v>
      </c>
      <c r="G4" s="483">
        <f>$K4/4</f>
        <v>89375</v>
      </c>
      <c r="H4" s="483">
        <f t="shared" ref="H4:J9" si="0">$K4/4</f>
        <v>89375</v>
      </c>
      <c r="I4" s="483">
        <f t="shared" si="0"/>
        <v>89375</v>
      </c>
      <c r="J4" s="483">
        <f t="shared" si="0"/>
        <v>89375</v>
      </c>
      <c r="K4" s="482">
        <f>'Синергия_доходы - расходы'!N18</f>
        <v>357500</v>
      </c>
      <c r="L4" s="483">
        <f>$P4/4</f>
        <v>594000</v>
      </c>
      <c r="M4" s="483">
        <f t="shared" ref="M4:O9" si="1">$P4/4</f>
        <v>594000</v>
      </c>
      <c r="N4" s="483">
        <f t="shared" si="1"/>
        <v>594000</v>
      </c>
      <c r="O4" s="483">
        <f t="shared" si="1"/>
        <v>594000</v>
      </c>
      <c r="P4" s="482">
        <f>'Синергия_доходы - расходы'!O18</f>
        <v>2376000</v>
      </c>
      <c r="Q4" s="483">
        <f>$U4/4</f>
        <v>792000</v>
      </c>
      <c r="R4" s="483">
        <f t="shared" ref="R4:T9" si="2">$U4/4</f>
        <v>792000</v>
      </c>
      <c r="S4" s="483">
        <f t="shared" si="2"/>
        <v>792000</v>
      </c>
      <c r="T4" s="483">
        <f t="shared" si="2"/>
        <v>792000</v>
      </c>
      <c r="U4" s="482">
        <f>'Синергия_доходы - расходы'!P18</f>
        <v>3168000</v>
      </c>
      <c r="V4" s="483">
        <f>$Z4/4</f>
        <v>990000</v>
      </c>
      <c r="W4" s="483">
        <f t="shared" ref="W4:Y9" si="3">$Z4/4</f>
        <v>990000</v>
      </c>
      <c r="X4" s="483">
        <f t="shared" si="3"/>
        <v>990000</v>
      </c>
      <c r="Y4" s="483">
        <f t="shared" si="3"/>
        <v>990000</v>
      </c>
      <c r="Z4" s="482">
        <f>'Синергия_доходы - расходы'!Q18</f>
        <v>3960000</v>
      </c>
    </row>
    <row r="5" spans="1:26" s="8" customFormat="1" ht="28.5" customHeight="1" outlineLevel="1">
      <c r="A5" s="470" t="str">
        <f>'Синергия_доходы - расходы'!A19</f>
        <v>Копилка-сберсчет (Доход 1,5% от привлеченного депозита из расчета: депозит=1 тыс. руб. * кол-во активированных клиентов)</v>
      </c>
      <c r="B5" s="577">
        <v>0</v>
      </c>
      <c r="C5" s="577">
        <v>0</v>
      </c>
      <c r="D5" s="577">
        <v>0</v>
      </c>
      <c r="E5" s="577">
        <v>0</v>
      </c>
      <c r="F5" s="482">
        <v>0</v>
      </c>
      <c r="G5" s="483">
        <f t="shared" ref="G5:G9" si="4">$K5/4</f>
        <v>48750</v>
      </c>
      <c r="H5" s="483">
        <f t="shared" si="0"/>
        <v>48750</v>
      </c>
      <c r="I5" s="483">
        <f t="shared" si="0"/>
        <v>48750</v>
      </c>
      <c r="J5" s="483">
        <f t="shared" si="0"/>
        <v>48750</v>
      </c>
      <c r="K5" s="482">
        <f>'Синергия_доходы - расходы'!N19</f>
        <v>195000</v>
      </c>
      <c r="L5" s="483">
        <f t="shared" ref="L5:L9" si="5">$P5/4</f>
        <v>135000</v>
      </c>
      <c r="M5" s="483">
        <f t="shared" si="1"/>
        <v>135000</v>
      </c>
      <c r="N5" s="483">
        <f t="shared" si="1"/>
        <v>135000</v>
      </c>
      <c r="O5" s="483">
        <f t="shared" si="1"/>
        <v>135000</v>
      </c>
      <c r="P5" s="482">
        <f>'Синергия_доходы - расходы'!O19</f>
        <v>540000</v>
      </c>
      <c r="Q5" s="483">
        <f t="shared" ref="Q5:Q9" si="6">$U5/4</f>
        <v>180000</v>
      </c>
      <c r="R5" s="483">
        <f t="shared" si="2"/>
        <v>180000</v>
      </c>
      <c r="S5" s="483">
        <f t="shared" si="2"/>
        <v>180000</v>
      </c>
      <c r="T5" s="483">
        <f t="shared" si="2"/>
        <v>180000</v>
      </c>
      <c r="U5" s="482">
        <f>'Синергия_доходы - расходы'!P19</f>
        <v>720000</v>
      </c>
      <c r="V5" s="483">
        <f t="shared" ref="V5:V9" si="7">$Z5/4</f>
        <v>225000</v>
      </c>
      <c r="W5" s="483">
        <f t="shared" si="3"/>
        <v>225000</v>
      </c>
      <c r="X5" s="483">
        <f t="shared" si="3"/>
        <v>225000</v>
      </c>
      <c r="Y5" s="483">
        <f t="shared" si="3"/>
        <v>225000</v>
      </c>
      <c r="Z5" s="482">
        <f>'Синергия_доходы - расходы'!Q19</f>
        <v>900000</v>
      </c>
    </row>
    <row r="6" spans="1:26" s="12" customFormat="1" ht="25.5" outlineLevel="1">
      <c r="A6" s="469" t="str">
        <f>'Синергия_доходы - расходы'!A20</f>
        <v>Q транзакции в Винлаб и РодСтор (Доход 0,85% от объема транзакций за покупку по картам в Винлаб и Родстор)</v>
      </c>
      <c r="B6" s="577">
        <v>0</v>
      </c>
      <c r="C6" s="577">
        <v>0</v>
      </c>
      <c r="D6" s="577">
        <v>0</v>
      </c>
      <c r="E6" s="577">
        <v>0</v>
      </c>
      <c r="F6" s="485">
        <v>0</v>
      </c>
      <c r="G6" s="483">
        <f t="shared" si="4"/>
        <v>3315000</v>
      </c>
      <c r="H6" s="483">
        <f t="shared" si="0"/>
        <v>3315000</v>
      </c>
      <c r="I6" s="483">
        <f t="shared" si="0"/>
        <v>3315000</v>
      </c>
      <c r="J6" s="483">
        <f t="shared" si="0"/>
        <v>3315000</v>
      </c>
      <c r="K6" s="482">
        <f>'Синергия_доходы - расходы'!N20</f>
        <v>13260000</v>
      </c>
      <c r="L6" s="483">
        <f t="shared" si="5"/>
        <v>7650000.0000000009</v>
      </c>
      <c r="M6" s="483">
        <f t="shared" si="1"/>
        <v>7650000.0000000009</v>
      </c>
      <c r="N6" s="483">
        <f t="shared" si="1"/>
        <v>7650000.0000000009</v>
      </c>
      <c r="O6" s="483">
        <f t="shared" si="1"/>
        <v>7650000.0000000009</v>
      </c>
      <c r="P6" s="482">
        <f>'Синергия_доходы - расходы'!O20</f>
        <v>30600000.000000004</v>
      </c>
      <c r="Q6" s="483">
        <f t="shared" si="6"/>
        <v>9180000</v>
      </c>
      <c r="R6" s="483">
        <f t="shared" si="2"/>
        <v>9180000</v>
      </c>
      <c r="S6" s="483">
        <f t="shared" si="2"/>
        <v>9180000</v>
      </c>
      <c r="T6" s="483">
        <f t="shared" si="2"/>
        <v>9180000</v>
      </c>
      <c r="U6" s="482">
        <f>'Синергия_доходы - расходы'!P20</f>
        <v>36720000</v>
      </c>
      <c r="V6" s="483">
        <f t="shared" si="7"/>
        <v>10200000</v>
      </c>
      <c r="W6" s="483">
        <f t="shared" si="3"/>
        <v>10200000</v>
      </c>
      <c r="X6" s="483">
        <f t="shared" si="3"/>
        <v>10200000</v>
      </c>
      <c r="Y6" s="483">
        <f t="shared" si="3"/>
        <v>10200000</v>
      </c>
      <c r="Z6" s="482">
        <f>'Синергия_доходы - расходы'!Q20</f>
        <v>40800000</v>
      </c>
    </row>
    <row r="7" spans="1:26" outlineLevel="1">
      <c r="A7" s="469" t="str">
        <f>'Синергия_доходы - расходы'!A21</f>
        <v>Q прочие</v>
      </c>
      <c r="B7" s="577">
        <v>0</v>
      </c>
      <c r="C7" s="577">
        <v>0</v>
      </c>
      <c r="D7" s="577">
        <v>0</v>
      </c>
      <c r="E7" s="577">
        <v>0</v>
      </c>
      <c r="F7" s="485">
        <f>SUM(B7:E7)</f>
        <v>0</v>
      </c>
      <c r="G7" s="483">
        <f t="shared" si="4"/>
        <v>0</v>
      </c>
      <c r="H7" s="483">
        <f t="shared" si="0"/>
        <v>0</v>
      </c>
      <c r="I7" s="483">
        <f t="shared" si="0"/>
        <v>0</v>
      </c>
      <c r="J7" s="483">
        <f t="shared" si="0"/>
        <v>0</v>
      </c>
      <c r="K7" s="482">
        <f>'Синергия_доходы - расходы'!N21</f>
        <v>0</v>
      </c>
      <c r="L7" s="483">
        <f t="shared" si="5"/>
        <v>0</v>
      </c>
      <c r="M7" s="483">
        <f t="shared" si="1"/>
        <v>0</v>
      </c>
      <c r="N7" s="483">
        <f t="shared" si="1"/>
        <v>0</v>
      </c>
      <c r="O7" s="483">
        <f t="shared" si="1"/>
        <v>0</v>
      </c>
      <c r="P7" s="482">
        <f>'Синергия_доходы - расходы'!O21</f>
        <v>0</v>
      </c>
      <c r="Q7" s="483">
        <f t="shared" si="6"/>
        <v>0</v>
      </c>
      <c r="R7" s="483">
        <f t="shared" si="2"/>
        <v>0</v>
      </c>
      <c r="S7" s="483">
        <f t="shared" si="2"/>
        <v>0</v>
      </c>
      <c r="T7" s="483">
        <f t="shared" si="2"/>
        <v>0</v>
      </c>
      <c r="U7" s="482">
        <f>'Синергия_доходы - расходы'!P21</f>
        <v>0</v>
      </c>
      <c r="V7" s="483">
        <f t="shared" si="7"/>
        <v>0</v>
      </c>
      <c r="W7" s="483">
        <f t="shared" si="3"/>
        <v>0</v>
      </c>
      <c r="X7" s="483">
        <f t="shared" si="3"/>
        <v>0</v>
      </c>
      <c r="Y7" s="483">
        <f t="shared" si="3"/>
        <v>0</v>
      </c>
      <c r="Z7" s="482">
        <f>'Синергия_доходы - расходы'!Q21</f>
        <v>0</v>
      </c>
    </row>
    <row r="8" spans="1:26" ht="25.5" outlineLevel="1">
      <c r="A8" s="469" t="str">
        <f>'Синергия_доходы - расходы'!A22</f>
        <v>Запаска (Доход 39% от объема кредитных операций активированных клиентов)</v>
      </c>
      <c r="B8" s="577">
        <v>0</v>
      </c>
      <c r="C8" s="577">
        <v>0</v>
      </c>
      <c r="D8" s="577">
        <v>0</v>
      </c>
      <c r="E8" s="577">
        <v>0</v>
      </c>
      <c r="F8" s="604">
        <v>0</v>
      </c>
      <c r="G8" s="483">
        <f t="shared" si="4"/>
        <v>6337500</v>
      </c>
      <c r="H8" s="483">
        <f t="shared" si="0"/>
        <v>6337500</v>
      </c>
      <c r="I8" s="483">
        <f t="shared" si="0"/>
        <v>6337500</v>
      </c>
      <c r="J8" s="483">
        <f t="shared" si="0"/>
        <v>6337500</v>
      </c>
      <c r="K8" s="482">
        <f>'Синергия_доходы - расходы'!N22</f>
        <v>25350000</v>
      </c>
      <c r="L8" s="483">
        <f t="shared" si="5"/>
        <v>17550000</v>
      </c>
      <c r="M8" s="483">
        <f t="shared" si="1"/>
        <v>17550000</v>
      </c>
      <c r="N8" s="483">
        <f t="shared" si="1"/>
        <v>17550000</v>
      </c>
      <c r="O8" s="483">
        <f t="shared" si="1"/>
        <v>17550000</v>
      </c>
      <c r="P8" s="482">
        <f>'Синергия_доходы - расходы'!O22</f>
        <v>70200000</v>
      </c>
      <c r="Q8" s="483">
        <f t="shared" si="6"/>
        <v>23400000</v>
      </c>
      <c r="R8" s="483">
        <f t="shared" si="2"/>
        <v>23400000</v>
      </c>
      <c r="S8" s="483">
        <f t="shared" si="2"/>
        <v>23400000</v>
      </c>
      <c r="T8" s="483">
        <f t="shared" si="2"/>
        <v>23400000</v>
      </c>
      <c r="U8" s="482">
        <f>'Синергия_доходы - расходы'!P22</f>
        <v>93600000</v>
      </c>
      <c r="V8" s="483">
        <f t="shared" si="7"/>
        <v>29250000</v>
      </c>
      <c r="W8" s="483">
        <f t="shared" si="3"/>
        <v>29250000</v>
      </c>
      <c r="X8" s="483">
        <f t="shared" si="3"/>
        <v>29250000</v>
      </c>
      <c r="Y8" s="483">
        <f t="shared" si="3"/>
        <v>29250000</v>
      </c>
      <c r="Z8" s="482">
        <f>'Синергия_доходы - расходы'!Q22</f>
        <v>117000000</v>
      </c>
    </row>
    <row r="9" spans="1:26" ht="25.5" outlineLevel="1">
      <c r="A9" s="469" t="str">
        <f>'Синергия_доходы - расходы'!A23</f>
        <v xml:space="preserve">Платежи (Доход 0,5% от объема транзакций клиентов по картам на оплату коммунальных услуг, переводы) </v>
      </c>
      <c r="B9" s="577">
        <v>0</v>
      </c>
      <c r="C9" s="577">
        <v>0</v>
      </c>
      <c r="D9" s="577">
        <v>0</v>
      </c>
      <c r="E9" s="577">
        <v>0</v>
      </c>
      <c r="F9" s="604">
        <v>0</v>
      </c>
      <c r="G9" s="483">
        <f t="shared" si="4"/>
        <v>195000</v>
      </c>
      <c r="H9" s="483">
        <f t="shared" si="0"/>
        <v>195000</v>
      </c>
      <c r="I9" s="483">
        <f t="shared" si="0"/>
        <v>195000</v>
      </c>
      <c r="J9" s="483">
        <f t="shared" si="0"/>
        <v>195000</v>
      </c>
      <c r="K9" s="482">
        <f>'Синергия_доходы - расходы'!N23</f>
        <v>780000</v>
      </c>
      <c r="L9" s="483">
        <f t="shared" si="5"/>
        <v>900000</v>
      </c>
      <c r="M9" s="483">
        <f t="shared" si="1"/>
        <v>900000</v>
      </c>
      <c r="N9" s="483">
        <f t="shared" si="1"/>
        <v>900000</v>
      </c>
      <c r="O9" s="483">
        <f t="shared" si="1"/>
        <v>900000</v>
      </c>
      <c r="P9" s="482">
        <f>'Синергия_доходы - расходы'!O23</f>
        <v>3600000</v>
      </c>
      <c r="Q9" s="483">
        <f t="shared" si="6"/>
        <v>1080000</v>
      </c>
      <c r="R9" s="483">
        <f t="shared" si="2"/>
        <v>1080000</v>
      </c>
      <c r="S9" s="483">
        <f t="shared" si="2"/>
        <v>1080000</v>
      </c>
      <c r="T9" s="483">
        <f t="shared" si="2"/>
        <v>1080000</v>
      </c>
      <c r="U9" s="482">
        <f>'Синергия_доходы - расходы'!P23</f>
        <v>4320000</v>
      </c>
      <c r="V9" s="483">
        <f t="shared" si="7"/>
        <v>1200000</v>
      </c>
      <c r="W9" s="483">
        <f t="shared" si="3"/>
        <v>1200000</v>
      </c>
      <c r="X9" s="483">
        <f t="shared" si="3"/>
        <v>1200000</v>
      </c>
      <c r="Y9" s="483">
        <f t="shared" si="3"/>
        <v>1200000</v>
      </c>
      <c r="Z9" s="482">
        <f>'Синергия_доходы - расходы'!Q23</f>
        <v>4800000</v>
      </c>
    </row>
    <row r="10" spans="1:26" s="2" customFormat="1">
      <c r="A10" s="13" t="s">
        <v>18</v>
      </c>
      <c r="B10" s="14">
        <f>B7*B8</f>
        <v>0</v>
      </c>
      <c r="C10" s="14">
        <f>C7*C8</f>
        <v>0</v>
      </c>
      <c r="D10" s="14">
        <f>D7*D8</f>
        <v>0</v>
      </c>
      <c r="E10" s="15">
        <f t="shared" ref="E10" si="8">E7*E8</f>
        <v>0</v>
      </c>
      <c r="F10" s="485">
        <f t="shared" ref="F10:F15" si="9">SUM(B10:E10)</f>
        <v>0</v>
      </c>
      <c r="G10" s="492">
        <f>SUM(G4:G9)</f>
        <v>9985625</v>
      </c>
      <c r="H10" s="492">
        <f t="shared" ref="H10:J10" si="10">SUM(H4:H9)</f>
        <v>9985625</v>
      </c>
      <c r="I10" s="492">
        <f t="shared" si="10"/>
        <v>9985625</v>
      </c>
      <c r="J10" s="492">
        <f t="shared" si="10"/>
        <v>9985625</v>
      </c>
      <c r="K10" s="485">
        <f>SUM(G10:J10)</f>
        <v>39942500</v>
      </c>
      <c r="L10" s="492">
        <f>SUM(L4:L9)</f>
        <v>26829000</v>
      </c>
      <c r="M10" s="492">
        <f t="shared" ref="M10:O10" si="11">SUM(M4:M9)</f>
        <v>26829000</v>
      </c>
      <c r="N10" s="492">
        <f t="shared" si="11"/>
        <v>26829000</v>
      </c>
      <c r="O10" s="492">
        <f t="shared" si="11"/>
        <v>26829000</v>
      </c>
      <c r="P10" s="485">
        <f t="shared" ref="P10:P15" si="12">SUM(L10:O10)</f>
        <v>107316000</v>
      </c>
      <c r="Q10" s="492">
        <f>SUM(Q4:Q9)</f>
        <v>34632000</v>
      </c>
      <c r="R10" s="492">
        <f t="shared" ref="R10:T10" si="13">SUM(R4:R9)</f>
        <v>34632000</v>
      </c>
      <c r="S10" s="492">
        <f t="shared" si="13"/>
        <v>34632000</v>
      </c>
      <c r="T10" s="492">
        <f t="shared" si="13"/>
        <v>34632000</v>
      </c>
      <c r="U10" s="485">
        <f t="shared" ref="U10:U15" si="14">SUM(Q10:T10)</f>
        <v>138528000</v>
      </c>
      <c r="V10" s="492">
        <f>SUM(V4:V9)</f>
        <v>41865000</v>
      </c>
      <c r="W10" s="492">
        <f t="shared" ref="W10:Y10" si="15">SUM(W4:W9)</f>
        <v>41865000</v>
      </c>
      <c r="X10" s="492">
        <f t="shared" si="15"/>
        <v>41865000</v>
      </c>
      <c r="Y10" s="492">
        <f t="shared" si="15"/>
        <v>41865000</v>
      </c>
      <c r="Z10" s="485">
        <f t="shared" ref="Z10:Z15" si="16">SUM(V10:Y10)</f>
        <v>167460000</v>
      </c>
    </row>
    <row r="11" spans="1:26">
      <c r="A11" s="586" t="s">
        <v>19</v>
      </c>
      <c r="B11" s="16">
        <f>B10/1.2</f>
        <v>0</v>
      </c>
      <c r="C11" s="16">
        <f t="shared" ref="C11:E11" si="17">C10/1.2</f>
        <v>0</v>
      </c>
      <c r="D11" s="16">
        <f t="shared" si="17"/>
        <v>0</v>
      </c>
      <c r="E11" s="17">
        <f t="shared" si="17"/>
        <v>0</v>
      </c>
      <c r="F11" s="485">
        <f t="shared" si="9"/>
        <v>0</v>
      </c>
      <c r="G11" s="493">
        <f>G10</f>
        <v>9985625</v>
      </c>
      <c r="H11" s="494">
        <f>H10</f>
        <v>9985625</v>
      </c>
      <c r="I11" s="494">
        <f>I10</f>
        <v>9985625</v>
      </c>
      <c r="J11" s="495">
        <f>J10</f>
        <v>9985625</v>
      </c>
      <c r="K11" s="485">
        <f t="shared" ref="K11:K15" si="18">SUM(G11:J11)</f>
        <v>39942500</v>
      </c>
      <c r="L11" s="493">
        <f>L10</f>
        <v>26829000</v>
      </c>
      <c r="M11" s="494">
        <f>M10</f>
        <v>26829000</v>
      </c>
      <c r="N11" s="494">
        <f>N10</f>
        <v>26829000</v>
      </c>
      <c r="O11" s="495">
        <f>O10</f>
        <v>26829000</v>
      </c>
      <c r="P11" s="485">
        <f t="shared" si="12"/>
        <v>107316000</v>
      </c>
      <c r="Q11" s="493">
        <f>Q10</f>
        <v>34632000</v>
      </c>
      <c r="R11" s="494">
        <f>R10</f>
        <v>34632000</v>
      </c>
      <c r="S11" s="494">
        <f>S10</f>
        <v>34632000</v>
      </c>
      <c r="T11" s="495">
        <f>T10</f>
        <v>34632000</v>
      </c>
      <c r="U11" s="485">
        <f t="shared" si="14"/>
        <v>138528000</v>
      </c>
      <c r="V11" s="493">
        <f>V10</f>
        <v>41865000</v>
      </c>
      <c r="W11" s="494">
        <f>W10</f>
        <v>41865000</v>
      </c>
      <c r="X11" s="494">
        <f>X10</f>
        <v>41865000</v>
      </c>
      <c r="Y11" s="495">
        <f>Y10</f>
        <v>41865000</v>
      </c>
      <c r="Z11" s="485">
        <f t="shared" si="16"/>
        <v>167460000</v>
      </c>
    </row>
    <row r="12" spans="1:26" s="2" customFormat="1">
      <c r="A12" s="9" t="s">
        <v>20</v>
      </c>
      <c r="B12" s="16">
        <f>B11/(1+B16)</f>
        <v>0</v>
      </c>
      <c r="C12" s="16">
        <f t="shared" ref="C12:E12" si="19">C11/(1+C16)</f>
        <v>0</v>
      </c>
      <c r="D12" s="16">
        <f t="shared" si="19"/>
        <v>0</v>
      </c>
      <c r="E12" s="17">
        <f t="shared" si="19"/>
        <v>0</v>
      </c>
      <c r="F12" s="485">
        <f>SUM(B12:E12)</f>
        <v>0</v>
      </c>
      <c r="G12" s="493">
        <v>0</v>
      </c>
      <c r="H12" s="494">
        <v>0</v>
      </c>
      <c r="I12" s="494">
        <v>0</v>
      </c>
      <c r="J12" s="495">
        <v>0</v>
      </c>
      <c r="K12" s="485">
        <f>SUM(G12:J12)</f>
        <v>0</v>
      </c>
      <c r="L12" s="493">
        <v>0</v>
      </c>
      <c r="M12" s="494">
        <v>0</v>
      </c>
      <c r="N12" s="494">
        <v>0</v>
      </c>
      <c r="O12" s="495">
        <v>0</v>
      </c>
      <c r="P12" s="485">
        <f t="shared" si="12"/>
        <v>0</v>
      </c>
      <c r="Q12" s="493">
        <v>0</v>
      </c>
      <c r="R12" s="494">
        <v>0</v>
      </c>
      <c r="S12" s="494">
        <v>0</v>
      </c>
      <c r="T12" s="495">
        <v>0</v>
      </c>
      <c r="U12" s="485">
        <f t="shared" si="14"/>
        <v>0</v>
      </c>
      <c r="V12" s="493">
        <v>0</v>
      </c>
      <c r="W12" s="494">
        <v>0</v>
      </c>
      <c r="X12" s="494">
        <v>0</v>
      </c>
      <c r="Y12" s="495">
        <v>0</v>
      </c>
      <c r="Z12" s="485">
        <f t="shared" si="16"/>
        <v>0</v>
      </c>
    </row>
    <row r="13" spans="1:26" s="2" customFormat="1">
      <c r="A13" s="13" t="s">
        <v>21</v>
      </c>
      <c r="B13" s="18">
        <f>B11-B12</f>
        <v>0</v>
      </c>
      <c r="C13" s="18">
        <f t="shared" ref="C13:E13" si="20">C11-C12</f>
        <v>0</v>
      </c>
      <c r="D13" s="18">
        <f t="shared" si="20"/>
        <v>0</v>
      </c>
      <c r="E13" s="19">
        <f t="shared" si="20"/>
        <v>0</v>
      </c>
      <c r="F13" s="485">
        <f t="shared" si="9"/>
        <v>0</v>
      </c>
      <c r="G13" s="496">
        <f>G11-G12</f>
        <v>9985625</v>
      </c>
      <c r="H13" s="497">
        <f t="shared" ref="H13:J13" si="21">H11-H12</f>
        <v>9985625</v>
      </c>
      <c r="I13" s="497">
        <f t="shared" si="21"/>
        <v>9985625</v>
      </c>
      <c r="J13" s="498">
        <f t="shared" si="21"/>
        <v>9985625</v>
      </c>
      <c r="K13" s="485">
        <f t="shared" si="18"/>
        <v>39942500</v>
      </c>
      <c r="L13" s="496">
        <f>L11-L12</f>
        <v>26829000</v>
      </c>
      <c r="M13" s="497">
        <f t="shared" ref="M13:O13" si="22">M11-M12</f>
        <v>26829000</v>
      </c>
      <c r="N13" s="497">
        <f t="shared" si="22"/>
        <v>26829000</v>
      </c>
      <c r="O13" s="498">
        <f t="shared" si="22"/>
        <v>26829000</v>
      </c>
      <c r="P13" s="485">
        <f t="shared" si="12"/>
        <v>107316000</v>
      </c>
      <c r="Q13" s="496">
        <f>Q11-Q12</f>
        <v>34632000</v>
      </c>
      <c r="R13" s="497">
        <f t="shared" ref="R13:T13" si="23">R11-R12</f>
        <v>34632000</v>
      </c>
      <c r="S13" s="497">
        <f t="shared" si="23"/>
        <v>34632000</v>
      </c>
      <c r="T13" s="498">
        <f t="shared" si="23"/>
        <v>34632000</v>
      </c>
      <c r="U13" s="485">
        <f t="shared" si="14"/>
        <v>138528000</v>
      </c>
      <c r="V13" s="496">
        <f>V11-V12</f>
        <v>41865000</v>
      </c>
      <c r="W13" s="497">
        <f t="shared" ref="W13:Y13" si="24">W11-W12</f>
        <v>41865000</v>
      </c>
      <c r="X13" s="497">
        <f t="shared" si="24"/>
        <v>41865000</v>
      </c>
      <c r="Y13" s="498">
        <f t="shared" si="24"/>
        <v>41865000</v>
      </c>
      <c r="Z13" s="485">
        <f t="shared" si="16"/>
        <v>167460000</v>
      </c>
    </row>
    <row r="14" spans="1:26" s="2" customFormat="1">
      <c r="A14" s="9" t="s">
        <v>22</v>
      </c>
      <c r="B14" s="20">
        <f>B12*B17</f>
        <v>0</v>
      </c>
      <c r="C14" s="20">
        <f t="shared" ref="C14:E14" si="25">C12*C17</f>
        <v>0</v>
      </c>
      <c r="D14" s="20">
        <f t="shared" si="25"/>
        <v>0</v>
      </c>
      <c r="E14" s="21">
        <f t="shared" si="25"/>
        <v>0</v>
      </c>
      <c r="F14" s="485">
        <f t="shared" si="9"/>
        <v>0</v>
      </c>
      <c r="G14" s="499">
        <f>G12*G17</f>
        <v>0</v>
      </c>
      <c r="H14" s="500">
        <f t="shared" ref="H14:J14" si="26">H12*H17</f>
        <v>0</v>
      </c>
      <c r="I14" s="500">
        <f t="shared" si="26"/>
        <v>0</v>
      </c>
      <c r="J14" s="501">
        <f t="shared" si="26"/>
        <v>0</v>
      </c>
      <c r="K14" s="485">
        <f t="shared" si="18"/>
        <v>0</v>
      </c>
      <c r="L14" s="499">
        <f>L12*L17</f>
        <v>0</v>
      </c>
      <c r="M14" s="500">
        <f>M12*M17</f>
        <v>0</v>
      </c>
      <c r="N14" s="500">
        <f>N12*N17</f>
        <v>0</v>
      </c>
      <c r="O14" s="501">
        <f>O12*O17</f>
        <v>0</v>
      </c>
      <c r="P14" s="485">
        <f t="shared" si="12"/>
        <v>0</v>
      </c>
      <c r="Q14" s="499">
        <f>Q12*Q17</f>
        <v>0</v>
      </c>
      <c r="R14" s="500">
        <f>R12*R17</f>
        <v>0</v>
      </c>
      <c r="S14" s="500">
        <f>S12*S17</f>
        <v>0</v>
      </c>
      <c r="T14" s="501">
        <f>T12*T17</f>
        <v>0</v>
      </c>
      <c r="U14" s="485">
        <f t="shared" si="14"/>
        <v>0</v>
      </c>
      <c r="V14" s="499">
        <f>V12*V17</f>
        <v>0</v>
      </c>
      <c r="W14" s="500">
        <f>W12*W17</f>
        <v>0</v>
      </c>
      <c r="X14" s="500">
        <f>X12*X17</f>
        <v>0</v>
      </c>
      <c r="Y14" s="501">
        <f>Y12*Y17</f>
        <v>0</v>
      </c>
      <c r="Z14" s="485">
        <f t="shared" si="16"/>
        <v>0</v>
      </c>
    </row>
    <row r="15" spans="1:26" s="2" customFormat="1">
      <c r="A15" s="13" t="s">
        <v>23</v>
      </c>
      <c r="B15" s="18">
        <f>B13+B14</f>
        <v>0</v>
      </c>
      <c r="C15" s="18">
        <f t="shared" ref="C15:D15" si="27">C13+C14</f>
        <v>0</v>
      </c>
      <c r="D15" s="18">
        <f t="shared" si="27"/>
        <v>0</v>
      </c>
      <c r="E15" s="19">
        <f>E13+E14</f>
        <v>0</v>
      </c>
      <c r="F15" s="502">
        <f t="shared" si="9"/>
        <v>0</v>
      </c>
      <c r="G15" s="496">
        <f>G13+G14</f>
        <v>9985625</v>
      </c>
      <c r="H15" s="497">
        <f t="shared" ref="H15:J15" si="28">H13+H14</f>
        <v>9985625</v>
      </c>
      <c r="I15" s="497">
        <f t="shared" si="28"/>
        <v>9985625</v>
      </c>
      <c r="J15" s="498">
        <f t="shared" si="28"/>
        <v>9985625</v>
      </c>
      <c r="K15" s="502">
        <f t="shared" si="18"/>
        <v>39942500</v>
      </c>
      <c r="L15" s="496">
        <f>L13+L14</f>
        <v>26829000</v>
      </c>
      <c r="M15" s="497">
        <f t="shared" ref="M15:O15" si="29">M13+M14</f>
        <v>26829000</v>
      </c>
      <c r="N15" s="497">
        <f t="shared" si="29"/>
        <v>26829000</v>
      </c>
      <c r="O15" s="498">
        <f t="shared" si="29"/>
        <v>26829000</v>
      </c>
      <c r="P15" s="502">
        <f t="shared" si="12"/>
        <v>107316000</v>
      </c>
      <c r="Q15" s="496">
        <f>Q13+Q14</f>
        <v>34632000</v>
      </c>
      <c r="R15" s="497">
        <f t="shared" ref="R15:T15" si="30">R13+R14</f>
        <v>34632000</v>
      </c>
      <c r="S15" s="497">
        <f t="shared" si="30"/>
        <v>34632000</v>
      </c>
      <c r="T15" s="498">
        <f t="shared" si="30"/>
        <v>34632000</v>
      </c>
      <c r="U15" s="502">
        <f t="shared" si="14"/>
        <v>138528000</v>
      </c>
      <c r="V15" s="496">
        <f>V13+V14</f>
        <v>41865000</v>
      </c>
      <c r="W15" s="497">
        <f t="shared" ref="W15:Y15" si="31">W13+W14</f>
        <v>41865000</v>
      </c>
      <c r="X15" s="497">
        <f t="shared" si="31"/>
        <v>41865000</v>
      </c>
      <c r="Y15" s="498">
        <f t="shared" si="31"/>
        <v>41865000</v>
      </c>
      <c r="Z15" s="502">
        <f t="shared" si="16"/>
        <v>167460000</v>
      </c>
    </row>
    <row r="16" spans="1:26" s="2" customFormat="1">
      <c r="A16" s="9" t="s">
        <v>24</v>
      </c>
      <c r="B16" s="22"/>
      <c r="C16" s="22"/>
      <c r="D16" s="22"/>
      <c r="E16" s="23"/>
      <c r="F16" s="484"/>
      <c r="G16" s="503"/>
      <c r="H16" s="504"/>
      <c r="I16" s="504"/>
      <c r="J16" s="505"/>
      <c r="K16" s="484"/>
      <c r="L16" s="503"/>
      <c r="M16" s="504"/>
      <c r="N16" s="504"/>
      <c r="O16" s="505"/>
      <c r="P16" s="484"/>
      <c r="Q16" s="503"/>
      <c r="R16" s="504"/>
      <c r="S16" s="504"/>
      <c r="T16" s="505"/>
      <c r="U16" s="484"/>
      <c r="V16" s="503"/>
      <c r="W16" s="504"/>
      <c r="X16" s="504"/>
      <c r="Y16" s="505"/>
      <c r="Z16" s="484"/>
    </row>
    <row r="17" spans="1:26" s="2" customFormat="1">
      <c r="A17" s="9" t="s">
        <v>25</v>
      </c>
      <c r="B17" s="22"/>
      <c r="C17" s="22"/>
      <c r="D17" s="22"/>
      <c r="E17" s="23"/>
      <c r="F17" s="484"/>
      <c r="G17" s="503"/>
      <c r="H17" s="504"/>
      <c r="I17" s="504"/>
      <c r="J17" s="505"/>
      <c r="K17" s="484"/>
      <c r="L17" s="503"/>
      <c r="M17" s="504"/>
      <c r="N17" s="504"/>
      <c r="O17" s="505"/>
      <c r="P17" s="484"/>
      <c r="Q17" s="503"/>
      <c r="R17" s="504"/>
      <c r="S17" s="504"/>
      <c r="T17" s="505"/>
      <c r="U17" s="484"/>
      <c r="V17" s="503"/>
      <c r="W17" s="504"/>
      <c r="X17" s="504"/>
      <c r="Y17" s="505"/>
      <c r="Z17" s="484"/>
    </row>
    <row r="18" spans="1:26" s="2" customFormat="1" ht="13.5" thickBot="1">
      <c r="A18" s="24" t="s">
        <v>26</v>
      </c>
      <c r="B18" s="25"/>
      <c r="C18" s="25"/>
      <c r="D18" s="25"/>
      <c r="E18" s="26"/>
      <c r="F18" s="506"/>
      <c r="G18" s="507"/>
      <c r="H18" s="508"/>
      <c r="I18" s="508"/>
      <c r="J18" s="509"/>
      <c r="K18" s="506"/>
      <c r="L18" s="507"/>
      <c r="M18" s="508"/>
      <c r="N18" s="508"/>
      <c r="O18" s="509"/>
      <c r="P18" s="506"/>
      <c r="Q18" s="507"/>
      <c r="R18" s="508"/>
      <c r="S18" s="508"/>
      <c r="T18" s="509"/>
      <c r="U18" s="506"/>
      <c r="V18" s="507"/>
      <c r="W18" s="508"/>
      <c r="X18" s="508"/>
      <c r="Y18" s="509"/>
      <c r="Z18" s="506"/>
    </row>
    <row r="19" spans="1:26" s="2" customFormat="1" ht="6.75" customHeight="1" thickBot="1">
      <c r="A19" s="27"/>
      <c r="B19" s="28"/>
      <c r="C19" s="28"/>
      <c r="D19" s="28"/>
      <c r="E19" s="29"/>
      <c r="F19" s="510"/>
      <c r="G19" s="511"/>
      <c r="H19" s="512"/>
      <c r="I19" s="512"/>
      <c r="J19" s="513"/>
      <c r="K19" s="510"/>
      <c r="L19" s="511"/>
      <c r="M19" s="512"/>
      <c r="N19" s="512"/>
      <c r="O19" s="513"/>
      <c r="P19" s="510"/>
      <c r="Q19" s="511"/>
      <c r="R19" s="512"/>
      <c r="S19" s="512"/>
      <c r="T19" s="513"/>
      <c r="U19" s="510"/>
      <c r="V19" s="511"/>
      <c r="W19" s="512"/>
      <c r="X19" s="512"/>
      <c r="Y19" s="513"/>
      <c r="Z19" s="510"/>
    </row>
    <row r="20" spans="1:26" outlineLevel="1">
      <c r="A20" s="30" t="s">
        <v>27</v>
      </c>
      <c r="B20" s="31"/>
      <c r="C20" s="31"/>
      <c r="D20" s="31"/>
      <c r="E20" s="32"/>
      <c r="F20" s="514"/>
      <c r="G20" s="515"/>
      <c r="H20" s="516"/>
      <c r="I20" s="516"/>
      <c r="J20" s="517"/>
      <c r="K20" s="514"/>
      <c r="L20" s="515"/>
      <c r="M20" s="516"/>
      <c r="N20" s="516"/>
      <c r="O20" s="517"/>
      <c r="P20" s="514"/>
      <c r="Q20" s="515"/>
      <c r="R20" s="516"/>
      <c r="S20" s="516"/>
      <c r="T20" s="517"/>
      <c r="U20" s="514"/>
      <c r="V20" s="515"/>
      <c r="W20" s="516"/>
      <c r="X20" s="516"/>
      <c r="Y20" s="517"/>
      <c r="Z20" s="514"/>
    </row>
    <row r="21" spans="1:26" outlineLevel="1">
      <c r="A21" s="9" t="s">
        <v>28</v>
      </c>
      <c r="B21" s="33"/>
      <c r="C21" s="33"/>
      <c r="D21" s="33"/>
      <c r="E21" s="34"/>
      <c r="F21" s="485"/>
      <c r="G21" s="489"/>
      <c r="H21" s="490"/>
      <c r="I21" s="490"/>
      <c r="J21" s="491"/>
      <c r="K21" s="485"/>
      <c r="L21" s="489"/>
      <c r="M21" s="490"/>
      <c r="N21" s="490"/>
      <c r="O21" s="491"/>
      <c r="P21" s="485"/>
      <c r="Q21" s="489"/>
      <c r="R21" s="490"/>
      <c r="S21" s="490"/>
      <c r="T21" s="491"/>
      <c r="U21" s="485"/>
      <c r="V21" s="489"/>
      <c r="W21" s="490"/>
      <c r="X21" s="490"/>
      <c r="Y21" s="491"/>
      <c r="Z21" s="485"/>
    </row>
    <row r="22" spans="1:26" outlineLevel="1">
      <c r="A22" s="9" t="s">
        <v>29</v>
      </c>
      <c r="B22" s="33"/>
      <c r="C22" s="33"/>
      <c r="D22" s="33"/>
      <c r="E22" s="34"/>
      <c r="F22" s="485"/>
      <c r="G22" s="489"/>
      <c r="H22" s="490"/>
      <c r="I22" s="490"/>
      <c r="J22" s="491"/>
      <c r="K22" s="485"/>
      <c r="L22" s="489"/>
      <c r="M22" s="490"/>
      <c r="N22" s="490"/>
      <c r="O22" s="491"/>
      <c r="P22" s="485"/>
      <c r="Q22" s="489"/>
      <c r="R22" s="490"/>
      <c r="S22" s="490"/>
      <c r="T22" s="491"/>
      <c r="U22" s="485"/>
      <c r="V22" s="489"/>
      <c r="W22" s="490"/>
      <c r="X22" s="490"/>
      <c r="Y22" s="491"/>
      <c r="Z22" s="485"/>
    </row>
    <row r="23" spans="1:26" s="35" customFormat="1" outlineLevel="1">
      <c r="A23" s="9" t="s">
        <v>30</v>
      </c>
      <c r="B23" s="33"/>
      <c r="C23" s="33"/>
      <c r="D23" s="33"/>
      <c r="E23" s="34"/>
      <c r="F23" s="485"/>
      <c r="G23" s="489"/>
      <c r="H23" s="490"/>
      <c r="I23" s="490"/>
      <c r="J23" s="491"/>
      <c r="K23" s="485"/>
      <c r="L23" s="489"/>
      <c r="M23" s="490"/>
      <c r="N23" s="490"/>
      <c r="O23" s="491"/>
      <c r="P23" s="485"/>
      <c r="Q23" s="489"/>
      <c r="R23" s="490"/>
      <c r="S23" s="490"/>
      <c r="T23" s="491"/>
      <c r="U23" s="485"/>
      <c r="V23" s="489"/>
      <c r="W23" s="490"/>
      <c r="X23" s="490"/>
      <c r="Y23" s="491"/>
      <c r="Z23" s="485"/>
    </row>
    <row r="24" spans="1:26" s="35" customFormat="1" outlineLevel="1">
      <c r="A24" s="9" t="s">
        <v>31</v>
      </c>
      <c r="B24" s="33"/>
      <c r="C24" s="33"/>
      <c r="D24" s="33"/>
      <c r="E24" s="34"/>
      <c r="F24" s="485"/>
      <c r="G24" s="489"/>
      <c r="H24" s="490"/>
      <c r="I24" s="490"/>
      <c r="J24" s="491"/>
      <c r="K24" s="485"/>
      <c r="L24" s="489"/>
      <c r="M24" s="490"/>
      <c r="N24" s="490"/>
      <c r="O24" s="491"/>
      <c r="P24" s="485"/>
      <c r="Q24" s="489"/>
      <c r="R24" s="490"/>
      <c r="S24" s="490"/>
      <c r="T24" s="491"/>
      <c r="U24" s="485"/>
      <c r="V24" s="489"/>
      <c r="W24" s="490"/>
      <c r="X24" s="490"/>
      <c r="Y24" s="491"/>
      <c r="Z24" s="485"/>
    </row>
    <row r="25" spans="1:26" s="35" customFormat="1" outlineLevel="1">
      <c r="A25" s="9" t="s">
        <v>32</v>
      </c>
      <c r="B25" s="33"/>
      <c r="C25" s="33"/>
      <c r="D25" s="33"/>
      <c r="E25" s="34"/>
      <c r="F25" s="485"/>
      <c r="G25" s="489"/>
      <c r="H25" s="490"/>
      <c r="I25" s="490"/>
      <c r="J25" s="491"/>
      <c r="K25" s="485"/>
      <c r="L25" s="489"/>
      <c r="M25" s="490"/>
      <c r="N25" s="490"/>
      <c r="O25" s="491"/>
      <c r="P25" s="485"/>
      <c r="Q25" s="489"/>
      <c r="R25" s="490"/>
      <c r="S25" s="490"/>
      <c r="T25" s="491"/>
      <c r="U25" s="485"/>
      <c r="V25" s="489"/>
      <c r="W25" s="490"/>
      <c r="X25" s="490"/>
      <c r="Y25" s="491"/>
      <c r="Z25" s="485"/>
    </row>
    <row r="26" spans="1:26" s="35" customFormat="1" outlineLevel="1">
      <c r="A26" s="9" t="s">
        <v>33</v>
      </c>
      <c r="B26" s="33"/>
      <c r="C26" s="33"/>
      <c r="D26" s="33"/>
      <c r="E26" s="34"/>
      <c r="F26" s="485"/>
      <c r="G26" s="489"/>
      <c r="H26" s="490"/>
      <c r="I26" s="490"/>
      <c r="J26" s="491"/>
      <c r="K26" s="485"/>
      <c r="L26" s="489"/>
      <c r="M26" s="490"/>
      <c r="N26" s="490"/>
      <c r="O26" s="491"/>
      <c r="P26" s="485"/>
      <c r="Q26" s="489"/>
      <c r="R26" s="490"/>
      <c r="S26" s="490"/>
      <c r="T26" s="491"/>
      <c r="U26" s="485"/>
      <c r="V26" s="489"/>
      <c r="W26" s="490"/>
      <c r="X26" s="490"/>
      <c r="Y26" s="491"/>
      <c r="Z26" s="485"/>
    </row>
    <row r="27" spans="1:26" s="35" customFormat="1" outlineLevel="1">
      <c r="A27" s="9" t="s">
        <v>34</v>
      </c>
      <c r="B27" s="33"/>
      <c r="C27" s="33"/>
      <c r="D27" s="33"/>
      <c r="E27" s="34"/>
      <c r="F27" s="485"/>
      <c r="G27" s="489"/>
      <c r="H27" s="490"/>
      <c r="I27" s="490"/>
      <c r="J27" s="491"/>
      <c r="K27" s="485"/>
      <c r="L27" s="489"/>
      <c r="M27" s="490"/>
      <c r="N27" s="490"/>
      <c r="O27" s="491"/>
      <c r="P27" s="485"/>
      <c r="Q27" s="489"/>
      <c r="R27" s="490"/>
      <c r="S27" s="490"/>
      <c r="T27" s="491"/>
      <c r="U27" s="485"/>
      <c r="V27" s="489"/>
      <c r="W27" s="490"/>
      <c r="X27" s="490"/>
      <c r="Y27" s="491"/>
      <c r="Z27" s="485"/>
    </row>
    <row r="28" spans="1:26" s="35" customFormat="1" outlineLevel="1">
      <c r="A28" s="9" t="s">
        <v>35</v>
      </c>
      <c r="B28" s="33"/>
      <c r="C28" s="33"/>
      <c r="D28" s="33"/>
      <c r="E28" s="34"/>
      <c r="F28" s="485"/>
      <c r="G28" s="489"/>
      <c r="H28" s="490"/>
      <c r="I28" s="490"/>
      <c r="J28" s="491"/>
      <c r="K28" s="485"/>
      <c r="L28" s="489"/>
      <c r="M28" s="490"/>
      <c r="N28" s="490"/>
      <c r="O28" s="491"/>
      <c r="P28" s="485"/>
      <c r="Q28" s="489"/>
      <c r="R28" s="490"/>
      <c r="S28" s="490"/>
      <c r="T28" s="491"/>
      <c r="U28" s="485"/>
      <c r="V28" s="489"/>
      <c r="W28" s="490"/>
      <c r="X28" s="490"/>
      <c r="Y28" s="491"/>
      <c r="Z28" s="485"/>
    </row>
    <row r="29" spans="1:26" s="35" customFormat="1" outlineLevel="1">
      <c r="A29" s="586" t="s">
        <v>36</v>
      </c>
      <c r="B29" s="33"/>
      <c r="C29" s="33"/>
      <c r="D29" s="33"/>
      <c r="E29" s="34"/>
      <c r="F29" s="552"/>
      <c r="G29" s="489"/>
      <c r="H29" s="490"/>
      <c r="I29" s="490"/>
      <c r="J29" s="491"/>
      <c r="K29" s="485"/>
      <c r="L29" s="489"/>
      <c r="M29" s="490"/>
      <c r="N29" s="490"/>
      <c r="O29" s="491"/>
      <c r="P29" s="485"/>
      <c r="Q29" s="489"/>
      <c r="R29" s="490"/>
      <c r="S29" s="490"/>
      <c r="T29" s="491"/>
      <c r="U29" s="485"/>
      <c r="V29" s="489"/>
      <c r="W29" s="490"/>
      <c r="X29" s="490"/>
      <c r="Y29" s="491"/>
      <c r="Z29" s="485"/>
    </row>
    <row r="30" spans="1:26" s="35" customFormat="1" outlineLevel="1">
      <c r="A30" s="9" t="s">
        <v>37</v>
      </c>
      <c r="B30" s="33"/>
      <c r="C30" s="33"/>
      <c r="D30" s="33"/>
      <c r="E30" s="34"/>
      <c r="F30" s="485"/>
      <c r="G30" s="489"/>
      <c r="H30" s="489"/>
      <c r="I30" s="489"/>
      <c r="J30" s="489"/>
      <c r="K30" s="485"/>
      <c r="L30" s="489"/>
      <c r="M30" s="490"/>
      <c r="N30" s="490"/>
      <c r="O30" s="491"/>
      <c r="P30" s="485"/>
      <c r="Q30" s="489"/>
      <c r="R30" s="490"/>
      <c r="S30" s="490"/>
      <c r="T30" s="491"/>
      <c r="U30" s="485"/>
      <c r="V30" s="489"/>
      <c r="W30" s="490"/>
      <c r="X30" s="490"/>
      <c r="Y30" s="491"/>
      <c r="Z30" s="485"/>
    </row>
    <row r="31" spans="1:26" s="35" customFormat="1" outlineLevel="1">
      <c r="A31" s="9" t="s">
        <v>38</v>
      </c>
      <c r="B31" s="33"/>
      <c r="C31" s="33"/>
      <c r="D31" s="33"/>
      <c r="E31" s="34"/>
      <c r="F31" s="485"/>
      <c r="G31" s="489"/>
      <c r="H31" s="490"/>
      <c r="I31" s="490"/>
      <c r="J31" s="490"/>
      <c r="K31" s="485"/>
      <c r="L31" s="490"/>
      <c r="M31" s="490"/>
      <c r="N31" s="490"/>
      <c r="O31" s="491"/>
      <c r="P31" s="485"/>
      <c r="Q31" s="490"/>
      <c r="R31" s="490"/>
      <c r="S31" s="490"/>
      <c r="T31" s="491"/>
      <c r="U31" s="485"/>
      <c r="V31" s="490"/>
      <c r="W31" s="490"/>
      <c r="X31" s="490"/>
      <c r="Y31" s="491"/>
      <c r="Z31" s="485"/>
    </row>
    <row r="32" spans="1:26" s="35" customFormat="1" outlineLevel="1">
      <c r="A32" s="36" t="s">
        <v>39</v>
      </c>
      <c r="B32" s="37"/>
      <c r="C32" s="37"/>
      <c r="D32" s="37"/>
      <c r="E32" s="38"/>
      <c r="F32" s="485"/>
      <c r="G32" s="518"/>
      <c r="H32" s="519"/>
      <c r="I32" s="519"/>
      <c r="J32" s="520"/>
      <c r="K32" s="485"/>
      <c r="L32" s="519"/>
      <c r="M32" s="519"/>
      <c r="N32" s="519"/>
      <c r="O32" s="520"/>
      <c r="P32" s="485"/>
      <c r="Q32" s="519"/>
      <c r="R32" s="519"/>
      <c r="S32" s="519"/>
      <c r="T32" s="520"/>
      <c r="U32" s="485"/>
      <c r="V32" s="519"/>
      <c r="W32" s="519"/>
      <c r="X32" s="519"/>
      <c r="Y32" s="520"/>
      <c r="Z32" s="485"/>
    </row>
    <row r="33" spans="1:28" s="35" customFormat="1" outlineLevel="1">
      <c r="A33" s="36" t="s">
        <v>40</v>
      </c>
      <c r="B33" s="37"/>
      <c r="C33" s="37"/>
      <c r="D33" s="37"/>
      <c r="E33" s="38"/>
      <c r="F33" s="485"/>
      <c r="G33" s="518"/>
      <c r="H33" s="519"/>
      <c r="I33" s="519"/>
      <c r="J33" s="520"/>
      <c r="K33" s="485"/>
      <c r="L33" s="519"/>
      <c r="M33" s="519"/>
      <c r="N33" s="519"/>
      <c r="O33" s="520"/>
      <c r="P33" s="485"/>
      <c r="Q33" s="519"/>
      <c r="R33" s="519"/>
      <c r="S33" s="519"/>
      <c r="T33" s="520"/>
      <c r="U33" s="485"/>
      <c r="V33" s="519"/>
      <c r="W33" s="519"/>
      <c r="X33" s="519"/>
      <c r="Y33" s="520"/>
      <c r="Z33" s="485"/>
    </row>
    <row r="34" spans="1:28" s="35" customFormat="1" outlineLevel="1">
      <c r="A34" s="36" t="s">
        <v>41</v>
      </c>
      <c r="B34" s="37"/>
      <c r="C34" s="37"/>
      <c r="D34" s="37"/>
      <c r="E34" s="38"/>
      <c r="F34" s="485"/>
      <c r="G34" s="518"/>
      <c r="H34" s="519"/>
      <c r="I34" s="519"/>
      <c r="J34" s="520"/>
      <c r="K34" s="485"/>
      <c r="L34" s="519"/>
      <c r="M34" s="519"/>
      <c r="N34" s="519"/>
      <c r="O34" s="520"/>
      <c r="P34" s="485"/>
      <c r="Q34" s="519"/>
      <c r="R34" s="519"/>
      <c r="S34" s="519"/>
      <c r="T34" s="520"/>
      <c r="U34" s="485"/>
      <c r="V34" s="519"/>
      <c r="W34" s="519"/>
      <c r="X34" s="519"/>
      <c r="Y34" s="520"/>
      <c r="Z34" s="485"/>
    </row>
    <row r="35" spans="1:28" s="35" customFormat="1" outlineLevel="1">
      <c r="A35" s="36" t="s">
        <v>42</v>
      </c>
      <c r="B35" s="37"/>
      <c r="C35" s="37"/>
      <c r="D35" s="37"/>
      <c r="E35" s="38"/>
      <c r="F35" s="485"/>
      <c r="G35" s="519"/>
      <c r="H35" s="519"/>
      <c r="I35" s="519"/>
      <c r="J35" s="520"/>
      <c r="K35" s="485"/>
      <c r="L35" s="519"/>
      <c r="M35" s="519"/>
      <c r="N35" s="519"/>
      <c r="O35" s="520"/>
      <c r="P35" s="485"/>
      <c r="Q35" s="519"/>
      <c r="R35" s="519"/>
      <c r="S35" s="519"/>
      <c r="T35" s="520"/>
      <c r="U35" s="485"/>
      <c r="V35" s="519"/>
      <c r="W35" s="519"/>
      <c r="X35" s="519"/>
      <c r="Y35" s="520"/>
      <c r="Z35" s="485"/>
    </row>
    <row r="36" spans="1:28" s="35" customFormat="1" ht="30.75" customHeight="1" outlineLevel="1">
      <c r="A36" s="553" t="str">
        <f>'Синергия_доходы - расходы'!A26</f>
        <v>За пополнение карт клиентами (расчет на листе "Расходы на пополнение карт")</v>
      </c>
      <c r="B36" s="37"/>
      <c r="C36" s="37"/>
      <c r="D36" s="37"/>
      <c r="E36" s="38"/>
      <c r="F36" s="551">
        <v>0</v>
      </c>
      <c r="G36" s="519">
        <f>$K36/4</f>
        <v>5106000.07</v>
      </c>
      <c r="H36" s="519">
        <f t="shared" ref="H36:J40" si="32">$K36/4</f>
        <v>5106000.07</v>
      </c>
      <c r="I36" s="519">
        <f t="shared" si="32"/>
        <v>5106000.07</v>
      </c>
      <c r="J36" s="519">
        <f t="shared" si="32"/>
        <v>5106000.07</v>
      </c>
      <c r="K36" s="551">
        <f>'Синергия_доходы - расходы'!N26</f>
        <v>20424000.280000001</v>
      </c>
      <c r="L36" s="519">
        <f>$P36/4</f>
        <v>9498605.6399999838</v>
      </c>
      <c r="M36" s="519">
        <f t="shared" ref="M36:O40" si="33">$P36/4</f>
        <v>9498605.6399999838</v>
      </c>
      <c r="N36" s="519">
        <f t="shared" si="33"/>
        <v>9498605.6399999838</v>
      </c>
      <c r="O36" s="519">
        <f t="shared" si="33"/>
        <v>9498605.6399999838</v>
      </c>
      <c r="P36" s="551">
        <f>'Синергия_доходы - расходы'!O26</f>
        <v>37994422.559999935</v>
      </c>
      <c r="Q36" s="519">
        <f>$U36/4</f>
        <v>11837105.640000001</v>
      </c>
      <c r="R36" s="519">
        <f t="shared" ref="R36:T40" si="34">$U36/4</f>
        <v>11837105.640000001</v>
      </c>
      <c r="S36" s="519">
        <f t="shared" si="34"/>
        <v>11837105.640000001</v>
      </c>
      <c r="T36" s="519">
        <f t="shared" si="34"/>
        <v>11837105.640000001</v>
      </c>
      <c r="U36" s="551">
        <f>'Синергия_доходы - расходы'!P26</f>
        <v>47348422.560000002</v>
      </c>
      <c r="V36" s="519">
        <f>$Z36/4</f>
        <v>12020560.32</v>
      </c>
      <c r="W36" s="519">
        <f t="shared" ref="W36:Y40" si="35">$Z36/4</f>
        <v>12020560.32</v>
      </c>
      <c r="X36" s="519">
        <f t="shared" si="35"/>
        <v>12020560.32</v>
      </c>
      <c r="Y36" s="519">
        <f t="shared" si="35"/>
        <v>12020560.32</v>
      </c>
      <c r="Z36" s="551">
        <f>'Синергия_доходы - расходы'!Q26</f>
        <v>48082241.280000001</v>
      </c>
    </row>
    <row r="37" spans="1:28" s="35" customFormat="1" ht="25.5" outlineLevel="1">
      <c r="A37" s="553" t="str">
        <f>'Синергия_доходы - расходы'!A27</f>
        <v>Сальдо резервов (Расход 2% от объема кредитных операций активированных клиентов)</v>
      </c>
      <c r="B37" s="37"/>
      <c r="C37" s="37"/>
      <c r="D37" s="37"/>
      <c r="E37" s="38"/>
      <c r="F37" s="551">
        <v>0</v>
      </c>
      <c r="G37" s="519">
        <f t="shared" ref="G37:G40" si="36">$K37/4</f>
        <v>325000</v>
      </c>
      <c r="H37" s="519">
        <f t="shared" si="32"/>
        <v>325000</v>
      </c>
      <c r="I37" s="519">
        <f t="shared" si="32"/>
        <v>325000</v>
      </c>
      <c r="J37" s="519">
        <f t="shared" si="32"/>
        <v>325000</v>
      </c>
      <c r="K37" s="551">
        <f>'Синергия_доходы - расходы'!N27</f>
        <v>1300000</v>
      </c>
      <c r="L37" s="519">
        <f t="shared" ref="L37:L40" si="37">$P37/4</f>
        <v>900000</v>
      </c>
      <c r="M37" s="519">
        <f t="shared" si="33"/>
        <v>900000</v>
      </c>
      <c r="N37" s="519">
        <f t="shared" si="33"/>
        <v>900000</v>
      </c>
      <c r="O37" s="519">
        <f t="shared" si="33"/>
        <v>900000</v>
      </c>
      <c r="P37" s="551">
        <f>'Синергия_доходы - расходы'!O27</f>
        <v>3600000</v>
      </c>
      <c r="Q37" s="519">
        <f t="shared" ref="Q37:Q40" si="38">$U37/4</f>
        <v>1200000</v>
      </c>
      <c r="R37" s="519">
        <f t="shared" si="34"/>
        <v>1200000</v>
      </c>
      <c r="S37" s="519">
        <f t="shared" si="34"/>
        <v>1200000</v>
      </c>
      <c r="T37" s="519">
        <f t="shared" si="34"/>
        <v>1200000</v>
      </c>
      <c r="U37" s="551">
        <f>'Синергия_доходы - расходы'!P27</f>
        <v>4800000</v>
      </c>
      <c r="V37" s="519">
        <f t="shared" ref="V37:V40" si="39">$Z37/4</f>
        <v>1500000</v>
      </c>
      <c r="W37" s="519">
        <f t="shared" si="35"/>
        <v>1500000</v>
      </c>
      <c r="X37" s="519">
        <f t="shared" si="35"/>
        <v>1500000</v>
      </c>
      <c r="Y37" s="519">
        <f t="shared" si="35"/>
        <v>1500000</v>
      </c>
      <c r="Z37" s="551">
        <f>'Синергия_доходы - расходы'!Q27</f>
        <v>6000000</v>
      </c>
    </row>
    <row r="38" spans="1:28" s="35" customFormat="1" ht="25.5" outlineLevel="1">
      <c r="A38" s="553" t="str">
        <f>'Синергия_доходы - расходы'!A28</f>
        <v>Выплата % активированным клиентам за участие в  "копилке"</v>
      </c>
      <c r="B38" s="37"/>
      <c r="C38" s="37"/>
      <c r="D38" s="37"/>
      <c r="E38" s="38"/>
      <c r="F38" s="551">
        <v>0</v>
      </c>
      <c r="G38" s="519">
        <f t="shared" si="36"/>
        <v>130000</v>
      </c>
      <c r="H38" s="519">
        <f t="shared" si="32"/>
        <v>130000</v>
      </c>
      <c r="I38" s="519">
        <f t="shared" si="32"/>
        <v>130000</v>
      </c>
      <c r="J38" s="519">
        <f t="shared" si="32"/>
        <v>130000</v>
      </c>
      <c r="K38" s="551">
        <f>'Синергия_доходы - расходы'!N28</f>
        <v>520000</v>
      </c>
      <c r="L38" s="519">
        <f t="shared" si="37"/>
        <v>30000</v>
      </c>
      <c r="M38" s="519">
        <f t="shared" si="33"/>
        <v>30000</v>
      </c>
      <c r="N38" s="519">
        <f t="shared" si="33"/>
        <v>30000</v>
      </c>
      <c r="O38" s="519">
        <f t="shared" si="33"/>
        <v>30000</v>
      </c>
      <c r="P38" s="551">
        <f>'Синергия_доходы - расходы'!O28</f>
        <v>120000</v>
      </c>
      <c r="Q38" s="519">
        <f t="shared" si="38"/>
        <v>40000</v>
      </c>
      <c r="R38" s="519">
        <f t="shared" si="34"/>
        <v>40000</v>
      </c>
      <c r="S38" s="519">
        <f t="shared" si="34"/>
        <v>40000</v>
      </c>
      <c r="T38" s="519">
        <f t="shared" si="34"/>
        <v>40000</v>
      </c>
      <c r="U38" s="551">
        <f>'Синергия_доходы - расходы'!P28</f>
        <v>160000</v>
      </c>
      <c r="V38" s="519">
        <f t="shared" si="39"/>
        <v>50000</v>
      </c>
      <c r="W38" s="519">
        <f t="shared" si="35"/>
        <v>50000</v>
      </c>
      <c r="X38" s="519">
        <f t="shared" si="35"/>
        <v>50000</v>
      </c>
      <c r="Y38" s="519">
        <f t="shared" si="35"/>
        <v>50000</v>
      </c>
      <c r="Z38" s="551">
        <f>'Синергия_доходы - расходы'!Q28</f>
        <v>200000</v>
      </c>
    </row>
    <row r="39" spans="1:28" s="35" customFormat="1" outlineLevel="1">
      <c r="A39" s="553" t="str">
        <f>'Синергия_доходы - расходы'!A29</f>
        <v>Выплата % активированным клиентам за вклады</v>
      </c>
      <c r="B39" s="37"/>
      <c r="C39" s="37"/>
      <c r="D39" s="37"/>
      <c r="E39" s="38"/>
      <c r="F39" s="551">
        <v>0</v>
      </c>
      <c r="G39" s="519">
        <f t="shared" si="36"/>
        <v>975000</v>
      </c>
      <c r="H39" s="519">
        <f t="shared" si="32"/>
        <v>975000</v>
      </c>
      <c r="I39" s="519">
        <f t="shared" si="32"/>
        <v>975000</v>
      </c>
      <c r="J39" s="519">
        <f t="shared" si="32"/>
        <v>975000</v>
      </c>
      <c r="K39" s="551">
        <f>'Синергия_доходы - расходы'!N29</f>
        <v>3900000</v>
      </c>
      <c r="L39" s="519">
        <f t="shared" si="37"/>
        <v>2700000</v>
      </c>
      <c r="M39" s="519">
        <f t="shared" si="33"/>
        <v>2700000</v>
      </c>
      <c r="N39" s="519">
        <f t="shared" si="33"/>
        <v>2700000</v>
      </c>
      <c r="O39" s="519">
        <f t="shared" si="33"/>
        <v>2700000</v>
      </c>
      <c r="P39" s="551">
        <f>'Синергия_доходы - расходы'!O29</f>
        <v>10800000</v>
      </c>
      <c r="Q39" s="519">
        <f t="shared" si="38"/>
        <v>3600000</v>
      </c>
      <c r="R39" s="519">
        <f t="shared" si="34"/>
        <v>3600000</v>
      </c>
      <c r="S39" s="519">
        <f t="shared" si="34"/>
        <v>3600000</v>
      </c>
      <c r="T39" s="519">
        <f t="shared" si="34"/>
        <v>3600000</v>
      </c>
      <c r="U39" s="551">
        <f>'Синергия_доходы - расходы'!P29</f>
        <v>14400000</v>
      </c>
      <c r="V39" s="519">
        <f t="shared" si="39"/>
        <v>4500000</v>
      </c>
      <c r="W39" s="519">
        <f t="shared" si="35"/>
        <v>4500000</v>
      </c>
      <c r="X39" s="519">
        <f t="shared" si="35"/>
        <v>4500000</v>
      </c>
      <c r="Y39" s="519">
        <f t="shared" si="35"/>
        <v>4500000</v>
      </c>
      <c r="Z39" s="551">
        <f>'Синергия_доходы - расходы'!Q29</f>
        <v>18000000</v>
      </c>
    </row>
    <row r="40" spans="1:28" s="35" customFormat="1" ht="25.5" outlineLevel="1">
      <c r="A40" s="553" t="str">
        <f>'Синергия_доходы - расходы'!A30</f>
        <v>Выплата Агентского вознаграждения продавцам ВинЛаб за каждого активированного клиента</v>
      </c>
      <c r="B40" s="37"/>
      <c r="C40" s="37"/>
      <c r="D40" s="37"/>
      <c r="E40" s="38"/>
      <c r="F40" s="551">
        <v>0</v>
      </c>
      <c r="G40" s="519">
        <f t="shared" si="36"/>
        <v>6000000</v>
      </c>
      <c r="H40" s="519">
        <f t="shared" si="32"/>
        <v>6000000</v>
      </c>
      <c r="I40" s="519">
        <f t="shared" si="32"/>
        <v>6000000</v>
      </c>
      <c r="J40" s="519">
        <f t="shared" si="32"/>
        <v>6000000</v>
      </c>
      <c r="K40" s="551">
        <f>'Синергия_доходы - расходы'!N30</f>
        <v>24000000</v>
      </c>
      <c r="L40" s="519">
        <f t="shared" si="37"/>
        <v>3000000</v>
      </c>
      <c r="M40" s="519">
        <f t="shared" si="33"/>
        <v>3000000</v>
      </c>
      <c r="N40" s="519">
        <f t="shared" si="33"/>
        <v>3000000</v>
      </c>
      <c r="O40" s="519">
        <f t="shared" si="33"/>
        <v>3000000</v>
      </c>
      <c r="P40" s="551">
        <f>'Синергия_доходы - расходы'!O30</f>
        <v>12000000</v>
      </c>
      <c r="Q40" s="519">
        <f t="shared" si="38"/>
        <v>3000000</v>
      </c>
      <c r="R40" s="519">
        <f t="shared" si="34"/>
        <v>3000000</v>
      </c>
      <c r="S40" s="519">
        <f t="shared" si="34"/>
        <v>3000000</v>
      </c>
      <c r="T40" s="519">
        <f t="shared" si="34"/>
        <v>3000000</v>
      </c>
      <c r="U40" s="551">
        <f>'Синергия_доходы - расходы'!P30</f>
        <v>12000000</v>
      </c>
      <c r="V40" s="519">
        <f t="shared" si="39"/>
        <v>3000000</v>
      </c>
      <c r="W40" s="519">
        <f t="shared" si="35"/>
        <v>3000000</v>
      </c>
      <c r="X40" s="519">
        <f t="shared" si="35"/>
        <v>3000000</v>
      </c>
      <c r="Y40" s="519">
        <f t="shared" si="35"/>
        <v>3000000</v>
      </c>
      <c r="Z40" s="551">
        <f>'Синергия_доходы - расходы'!Q30</f>
        <v>12000000</v>
      </c>
    </row>
    <row r="41" spans="1:28" s="2" customFormat="1" ht="13.5" thickBot="1">
      <c r="A41" s="24" t="s">
        <v>43</v>
      </c>
      <c r="B41" s="39"/>
      <c r="C41" s="39"/>
      <c r="D41" s="39"/>
      <c r="E41" s="40"/>
      <c r="F41" s="521">
        <f>SUM(F36:F40)</f>
        <v>0</v>
      </c>
      <c r="G41" s="522">
        <f>SUM(G36:G40)</f>
        <v>12536000.07</v>
      </c>
      <c r="H41" s="522">
        <f t="shared" ref="H41:J41" si="40">SUM(H36:H40)</f>
        <v>12536000.07</v>
      </c>
      <c r="I41" s="522">
        <f t="shared" si="40"/>
        <v>12536000.07</v>
      </c>
      <c r="J41" s="522">
        <f t="shared" si="40"/>
        <v>12536000.07</v>
      </c>
      <c r="K41" s="521">
        <f>SUM(K36:K40)</f>
        <v>50144000.280000001</v>
      </c>
      <c r="L41" s="522">
        <f>SUM(L36:L40)</f>
        <v>16128605.639999984</v>
      </c>
      <c r="M41" s="522">
        <f t="shared" ref="M41:O41" si="41">SUM(M36:M40)</f>
        <v>16128605.639999984</v>
      </c>
      <c r="N41" s="522">
        <f t="shared" si="41"/>
        <v>16128605.639999984</v>
      </c>
      <c r="O41" s="522">
        <f t="shared" si="41"/>
        <v>16128605.639999984</v>
      </c>
      <c r="P41" s="521">
        <f>SUM(P36:P40)</f>
        <v>64514422.559999935</v>
      </c>
      <c r="Q41" s="522">
        <f>SUM(Q36:Q40)</f>
        <v>19677105.640000001</v>
      </c>
      <c r="R41" s="522">
        <f t="shared" ref="R41:T41" si="42">SUM(R36:R40)</f>
        <v>19677105.640000001</v>
      </c>
      <c r="S41" s="522">
        <f t="shared" si="42"/>
        <v>19677105.640000001</v>
      </c>
      <c r="T41" s="522">
        <f t="shared" si="42"/>
        <v>19677105.640000001</v>
      </c>
      <c r="U41" s="521">
        <f>SUM(U36:U40)</f>
        <v>78708422.560000002</v>
      </c>
      <c r="V41" s="522">
        <f>SUM(V36:V40)</f>
        <v>21070560.32</v>
      </c>
      <c r="W41" s="522">
        <f t="shared" ref="W41:Y41" si="43">SUM(W36:W40)</f>
        <v>21070560.32</v>
      </c>
      <c r="X41" s="522">
        <f t="shared" si="43"/>
        <v>21070560.32</v>
      </c>
      <c r="Y41" s="522">
        <f t="shared" si="43"/>
        <v>21070560.32</v>
      </c>
      <c r="Z41" s="521">
        <f>SUM(Z36:Z40)</f>
        <v>84282241.280000001</v>
      </c>
    </row>
    <row r="42" spans="1:28" s="2" customFormat="1" ht="5.25" customHeight="1" thickBot="1">
      <c r="A42" s="27"/>
      <c r="B42" s="41"/>
      <c r="C42" s="41"/>
      <c r="D42" s="41"/>
      <c r="E42" s="42"/>
      <c r="F42" s="524"/>
      <c r="G42" s="525"/>
      <c r="H42" s="526"/>
      <c r="I42" s="526"/>
      <c r="J42" s="527"/>
      <c r="K42" s="524"/>
      <c r="L42" s="525"/>
      <c r="M42" s="526"/>
      <c r="N42" s="526"/>
      <c r="O42" s="527"/>
      <c r="P42" s="524"/>
      <c r="Q42" s="525"/>
      <c r="R42" s="526"/>
      <c r="S42" s="526"/>
      <c r="T42" s="527"/>
      <c r="U42" s="524"/>
      <c r="V42" s="525"/>
      <c r="W42" s="526"/>
      <c r="X42" s="526"/>
      <c r="Y42" s="527"/>
      <c r="Z42" s="524"/>
    </row>
    <row r="43" spans="1:28" s="2" customFormat="1" ht="13.5" thickBot="1">
      <c r="A43" s="43" t="s">
        <v>44</v>
      </c>
      <c r="B43" s="44">
        <f>B28/2</f>
        <v>0</v>
      </c>
      <c r="C43" s="44">
        <f t="shared" ref="C43:D43" si="44">C28/2</f>
        <v>0</v>
      </c>
      <c r="D43" s="44">
        <f t="shared" si="44"/>
        <v>0</v>
      </c>
      <c r="E43" s="45">
        <f>E28/2</f>
        <v>0</v>
      </c>
      <c r="F43" s="528">
        <f>SUM(B43:E43)</f>
        <v>0</v>
      </c>
      <c r="G43" s="529">
        <f t="shared" ref="G43:J43" si="45">G28/2</f>
        <v>0</v>
      </c>
      <c r="H43" s="530">
        <f t="shared" si="45"/>
        <v>0</v>
      </c>
      <c r="I43" s="530">
        <f t="shared" si="45"/>
        <v>0</v>
      </c>
      <c r="J43" s="531">
        <f t="shared" si="45"/>
        <v>0</v>
      </c>
      <c r="K43" s="528">
        <f>SUM(G43:J43)</f>
        <v>0</v>
      </c>
      <c r="L43" s="529">
        <f t="shared" ref="L43:O43" si="46">L28/2</f>
        <v>0</v>
      </c>
      <c r="M43" s="530">
        <f t="shared" si="46"/>
        <v>0</v>
      </c>
      <c r="N43" s="530">
        <f t="shared" si="46"/>
        <v>0</v>
      </c>
      <c r="O43" s="531">
        <f t="shared" si="46"/>
        <v>0</v>
      </c>
      <c r="P43" s="528">
        <f>SUM(L43:O43)</f>
        <v>0</v>
      </c>
      <c r="Q43" s="529">
        <f t="shared" ref="Q43:T43" si="47">Q28/2</f>
        <v>0</v>
      </c>
      <c r="R43" s="530">
        <f t="shared" si="47"/>
        <v>0</v>
      </c>
      <c r="S43" s="530">
        <f t="shared" si="47"/>
        <v>0</v>
      </c>
      <c r="T43" s="531">
        <f t="shared" si="47"/>
        <v>0</v>
      </c>
      <c r="U43" s="528">
        <f>SUM(Q43:T43)</f>
        <v>0</v>
      </c>
      <c r="V43" s="529">
        <f t="shared" ref="V43:Y43" si="48">V28/2</f>
        <v>0</v>
      </c>
      <c r="W43" s="530">
        <f t="shared" si="48"/>
        <v>0</v>
      </c>
      <c r="X43" s="530">
        <f t="shared" si="48"/>
        <v>0</v>
      </c>
      <c r="Y43" s="531">
        <f t="shared" si="48"/>
        <v>0</v>
      </c>
      <c r="Z43" s="528">
        <f>SUM(V43:Y43)</f>
        <v>0</v>
      </c>
    </row>
    <row r="44" spans="1:28" s="2" customFormat="1" ht="5.25" customHeight="1" thickBot="1">
      <c r="A44" s="27"/>
      <c r="B44" s="41"/>
      <c r="C44" s="41"/>
      <c r="D44" s="41"/>
      <c r="E44" s="42"/>
      <c r="F44" s="524"/>
      <c r="G44" s="525"/>
      <c r="H44" s="526"/>
      <c r="I44" s="526"/>
      <c r="J44" s="527"/>
      <c r="K44" s="524"/>
      <c r="L44" s="525"/>
      <c r="M44" s="526"/>
      <c r="N44" s="526"/>
      <c r="O44" s="527"/>
      <c r="P44" s="524"/>
      <c r="Q44" s="525"/>
      <c r="R44" s="526"/>
      <c r="S44" s="526"/>
      <c r="T44" s="527"/>
      <c r="U44" s="524"/>
      <c r="V44" s="525"/>
      <c r="W44" s="526"/>
      <c r="X44" s="526"/>
      <c r="Y44" s="527"/>
      <c r="Z44" s="524"/>
    </row>
    <row r="45" spans="1:28" s="2" customFormat="1">
      <c r="A45" s="46" t="s">
        <v>45</v>
      </c>
      <c r="B45" s="47">
        <f>B15-B41+B43</f>
        <v>0</v>
      </c>
      <c r="C45" s="47">
        <f>C15-C41+C43</f>
        <v>0</v>
      </c>
      <c r="D45" s="47">
        <f>D15-D41+D43</f>
        <v>0</v>
      </c>
      <c r="E45" s="48">
        <f>E15-E41+E43</f>
        <v>0</v>
      </c>
      <c r="F45" s="514">
        <f>SUM(B45:E45)</f>
        <v>0</v>
      </c>
      <c r="G45" s="532">
        <f>G15-G41+G43</f>
        <v>-2550375.0700000003</v>
      </c>
      <c r="H45" s="533">
        <f>H15-H41+H43</f>
        <v>-2550375.0700000003</v>
      </c>
      <c r="I45" s="533">
        <f>I15-I41+I43</f>
        <v>-2550375.0700000003</v>
      </c>
      <c r="J45" s="534">
        <f>J15-J41+J43</f>
        <v>-2550375.0700000003</v>
      </c>
      <c r="K45" s="514">
        <f>SUM(G45:J45)</f>
        <v>-10201500.280000001</v>
      </c>
      <c r="L45" s="532">
        <f>L15-L41+L43</f>
        <v>10700394.360000016</v>
      </c>
      <c r="M45" s="533">
        <f>M15-M41+M43</f>
        <v>10700394.360000016</v>
      </c>
      <c r="N45" s="533">
        <f>N15-N41+N43</f>
        <v>10700394.360000016</v>
      </c>
      <c r="O45" s="534">
        <f>O15-O41+O43</f>
        <v>10700394.360000016</v>
      </c>
      <c r="P45" s="514">
        <f>SUM(L45:O45)</f>
        <v>42801577.440000065</v>
      </c>
      <c r="Q45" s="532">
        <f>Q15-Q41+Q43</f>
        <v>14954894.359999999</v>
      </c>
      <c r="R45" s="533">
        <f>R15-R41+R43</f>
        <v>14954894.359999999</v>
      </c>
      <c r="S45" s="533">
        <f>S15-S41+S43</f>
        <v>14954894.359999999</v>
      </c>
      <c r="T45" s="534">
        <f>T15-T41+T43</f>
        <v>14954894.359999999</v>
      </c>
      <c r="U45" s="514">
        <f>SUM(Q45:T45)</f>
        <v>59819577.439999998</v>
      </c>
      <c r="V45" s="532">
        <f>V15-V41+V43</f>
        <v>20794439.68</v>
      </c>
      <c r="W45" s="533">
        <f>W15-W41+W43</f>
        <v>20794439.68</v>
      </c>
      <c r="X45" s="533">
        <f>X15-X41+X43</f>
        <v>20794439.68</v>
      </c>
      <c r="Y45" s="534">
        <f>Y15-Y41+Y43</f>
        <v>20794439.68</v>
      </c>
      <c r="Z45" s="514">
        <f>SUM(V45:Y45)</f>
        <v>83177758.719999999</v>
      </c>
    </row>
    <row r="46" spans="1:28" s="52" customFormat="1" ht="13.5" thickBot="1">
      <c r="A46" s="49" t="s">
        <v>46</v>
      </c>
      <c r="B46" s="50" t="e">
        <f t="shared" ref="B46:E46" si="49">B45/(B10/1.2)</f>
        <v>#DIV/0!</v>
      </c>
      <c r="C46" s="50" t="e">
        <f t="shared" si="49"/>
        <v>#DIV/0!</v>
      </c>
      <c r="D46" s="50" t="e">
        <f t="shared" si="49"/>
        <v>#DIV/0!</v>
      </c>
      <c r="E46" s="51" t="e">
        <f t="shared" si="49"/>
        <v>#DIV/0!</v>
      </c>
      <c r="F46" s="535" t="e">
        <f>F45/(F10/1.2)</f>
        <v>#DIV/0!</v>
      </c>
      <c r="G46" s="507">
        <f>G45/G10</f>
        <v>-0.25540465118608002</v>
      </c>
      <c r="H46" s="507">
        <f>H45/H10</f>
        <v>-0.25540465118608002</v>
      </c>
      <c r="I46" s="507">
        <f t="shared" ref="I46:J46" si="50">I45/I10</f>
        <v>-0.25540465118608002</v>
      </c>
      <c r="J46" s="507">
        <f t="shared" si="50"/>
        <v>-0.25540465118608002</v>
      </c>
      <c r="K46" s="535">
        <f>K45/K10</f>
        <v>-0.25540465118608002</v>
      </c>
      <c r="L46" s="535">
        <f>L45/L10</f>
        <v>0.39883686905960031</v>
      </c>
      <c r="M46" s="535">
        <f t="shared" ref="M46:O46" si="51">M45/M10</f>
        <v>0.39883686905960031</v>
      </c>
      <c r="N46" s="535">
        <f t="shared" si="51"/>
        <v>0.39883686905960031</v>
      </c>
      <c r="O46" s="535">
        <f t="shared" si="51"/>
        <v>0.39883686905960031</v>
      </c>
      <c r="P46" s="535">
        <f>P45/P10</f>
        <v>0.39883686905960031</v>
      </c>
      <c r="Q46" s="535">
        <f t="shared" ref="Q46" si="52">Q45/Q10</f>
        <v>0.43182300646800648</v>
      </c>
      <c r="R46" s="535">
        <f t="shared" ref="R46" si="53">R45/R10</f>
        <v>0.43182300646800648</v>
      </c>
      <c r="S46" s="535">
        <f t="shared" ref="S46" si="54">S45/S10</f>
        <v>0.43182300646800648</v>
      </c>
      <c r="T46" s="535">
        <f t="shared" ref="T46" si="55">T45/T10</f>
        <v>0.43182300646800648</v>
      </c>
      <c r="U46" s="535">
        <f t="shared" ref="U46" si="56">U45/U10</f>
        <v>0.43182300646800648</v>
      </c>
      <c r="V46" s="535">
        <f t="shared" ref="V46" si="57">V45/V10</f>
        <v>0.49670224961184761</v>
      </c>
      <c r="W46" s="535">
        <f t="shared" ref="W46" si="58">W45/W10</f>
        <v>0.49670224961184761</v>
      </c>
      <c r="X46" s="535">
        <f t="shared" ref="X46" si="59">X45/X10</f>
        <v>0.49670224961184761</v>
      </c>
      <c r="Y46" s="535">
        <f t="shared" ref="Y46" si="60">Y45/Y10</f>
        <v>0.49670224961184761</v>
      </c>
      <c r="Z46" s="535">
        <f t="shared" ref="Z46" si="61">Z45/Z10</f>
        <v>0.49670224961184761</v>
      </c>
    </row>
    <row r="47" spans="1:28" s="56" customFormat="1" ht="5.45" customHeight="1">
      <c r="A47" s="53"/>
      <c r="B47" s="54"/>
      <c r="C47" s="54"/>
      <c r="D47" s="54"/>
      <c r="E47" s="55"/>
      <c r="F47" s="536"/>
      <c r="G47" s="537"/>
      <c r="H47" s="538"/>
      <c r="I47" s="538"/>
      <c r="J47" s="539"/>
      <c r="K47" s="536"/>
      <c r="L47" s="537"/>
      <c r="M47" s="538"/>
      <c r="N47" s="538"/>
      <c r="O47" s="539"/>
      <c r="P47" s="536"/>
      <c r="Q47" s="537"/>
      <c r="R47" s="538"/>
      <c r="S47" s="538"/>
      <c r="T47" s="539"/>
      <c r="U47" s="536"/>
      <c r="V47" s="537"/>
      <c r="W47" s="538"/>
      <c r="X47" s="538"/>
      <c r="Y47" s="539"/>
      <c r="Z47" s="536"/>
      <c r="AA47" s="52"/>
      <c r="AB47" s="52"/>
    </row>
    <row r="48" spans="1:28" s="593" customFormat="1">
      <c r="A48" s="587" t="s">
        <v>47</v>
      </c>
      <c r="B48" s="588">
        <f>B45-B61*3</f>
        <v>0</v>
      </c>
      <c r="C48" s="588">
        <f>C45-C61*3</f>
        <v>0</v>
      </c>
      <c r="D48" s="588">
        <f t="shared" ref="D48" si="62">D45-D61*3</f>
        <v>0</v>
      </c>
      <c r="E48" s="589">
        <f>E45-E61*3</f>
        <v>0</v>
      </c>
      <c r="F48" s="566">
        <f>SUM(B48:E48)</f>
        <v>0</v>
      </c>
      <c r="G48" s="590">
        <f>G45-G61*3</f>
        <v>-2550375.0700000003</v>
      </c>
      <c r="H48" s="560">
        <f>H45-H61*3</f>
        <v>-2550375.0700000003</v>
      </c>
      <c r="I48" s="560">
        <f t="shared" ref="I48:J48" si="63">I45-I61*3</f>
        <v>-2550375.0700000003</v>
      </c>
      <c r="J48" s="591">
        <f t="shared" si="63"/>
        <v>-2550375.0700000003</v>
      </c>
      <c r="K48" s="566">
        <f>SUM(G48:J48)</f>
        <v>-10201500.280000001</v>
      </c>
      <c r="L48" s="590">
        <f>L45-L61*3</f>
        <v>10700394.360000016</v>
      </c>
      <c r="M48" s="560">
        <f>M45-M61*3</f>
        <v>10700394.360000016</v>
      </c>
      <c r="N48" s="560">
        <f t="shared" ref="N48:O48" si="64">N45-N61*3</f>
        <v>10700394.360000016</v>
      </c>
      <c r="O48" s="591">
        <f t="shared" si="64"/>
        <v>10700394.360000016</v>
      </c>
      <c r="P48" s="566">
        <f>SUM(L48:O48)</f>
        <v>42801577.440000065</v>
      </c>
      <c r="Q48" s="590">
        <f>Q45-Q61*3</f>
        <v>14954894.359999999</v>
      </c>
      <c r="R48" s="560">
        <f>R45-R61*3</f>
        <v>14954894.359999999</v>
      </c>
      <c r="S48" s="560">
        <f t="shared" ref="S48:T48" si="65">S45-S61*3</f>
        <v>14954894.359999999</v>
      </c>
      <c r="T48" s="591">
        <f t="shared" si="65"/>
        <v>14954894.359999999</v>
      </c>
      <c r="U48" s="566">
        <f>SUM(Q48:T48)</f>
        <v>59819577.439999998</v>
      </c>
      <c r="V48" s="590">
        <f t="shared" ref="V48" si="66">V45-V61*3</f>
        <v>20794439.68</v>
      </c>
      <c r="W48" s="560">
        <f>W45-W61*3</f>
        <v>20794439.68</v>
      </c>
      <c r="X48" s="560">
        <f t="shared" ref="X48:Y48" si="67">X45-X61*3</f>
        <v>20794439.68</v>
      </c>
      <c r="Y48" s="591">
        <f t="shared" si="67"/>
        <v>20794439.68</v>
      </c>
      <c r="Z48" s="566">
        <f>SUM(V48:Y48)</f>
        <v>83177758.719999999</v>
      </c>
      <c r="AA48" s="592"/>
      <c r="AB48" s="592"/>
    </row>
    <row r="49" spans="1:28" s="558" customFormat="1" ht="13.5" thickBot="1">
      <c r="A49" s="594" t="s">
        <v>48</v>
      </c>
      <c r="B49" s="595" t="e">
        <f t="shared" ref="B49:F49" si="68">B48/(B10/1.2)</f>
        <v>#DIV/0!</v>
      </c>
      <c r="C49" s="595" t="e">
        <f t="shared" si="68"/>
        <v>#DIV/0!</v>
      </c>
      <c r="D49" s="595" t="e">
        <f t="shared" si="68"/>
        <v>#DIV/0!</v>
      </c>
      <c r="E49" s="596" t="e">
        <f t="shared" si="68"/>
        <v>#DIV/0!</v>
      </c>
      <c r="F49" s="597" t="e">
        <f t="shared" si="68"/>
        <v>#DIV/0!</v>
      </c>
      <c r="G49" s="598">
        <f>G48/G10</f>
        <v>-0.25540465118608002</v>
      </c>
      <c r="H49" s="598">
        <f t="shared" ref="H49:I49" si="69">H48/H10</f>
        <v>-0.25540465118608002</v>
      </c>
      <c r="I49" s="598">
        <f t="shared" si="69"/>
        <v>-0.25540465118608002</v>
      </c>
      <c r="J49" s="598">
        <f>J48/J10</f>
        <v>-0.25540465118608002</v>
      </c>
      <c r="K49" s="597">
        <f>K48/K10</f>
        <v>-0.25540465118608002</v>
      </c>
      <c r="L49" s="598">
        <f>L48/L10</f>
        <v>0.39883686905960031</v>
      </c>
      <c r="M49" s="599">
        <f>M48/M10</f>
        <v>0.39883686905960031</v>
      </c>
      <c r="N49" s="599">
        <f t="shared" ref="N49:O49" si="70">N48/N10</f>
        <v>0.39883686905960031</v>
      </c>
      <c r="O49" s="599">
        <f t="shared" si="70"/>
        <v>0.39883686905960031</v>
      </c>
      <c r="P49" s="597">
        <f>P48/P10</f>
        <v>0.39883686905960031</v>
      </c>
      <c r="Q49" s="598">
        <f>Q48/Q10</f>
        <v>0.43182300646800648</v>
      </c>
      <c r="R49" s="598">
        <f t="shared" ref="R49:T49" si="71">R48/R10</f>
        <v>0.43182300646800648</v>
      </c>
      <c r="S49" s="598">
        <f t="shared" si="71"/>
        <v>0.43182300646800648</v>
      </c>
      <c r="T49" s="598">
        <f t="shared" si="71"/>
        <v>0.43182300646800648</v>
      </c>
      <c r="U49" s="597">
        <f>U48/U10</f>
        <v>0.43182300646800648</v>
      </c>
      <c r="V49" s="598">
        <f>V48/V10</f>
        <v>0.49670224961184761</v>
      </c>
      <c r="W49" s="598">
        <f t="shared" ref="W49:Y49" si="72">W48/W10</f>
        <v>0.49670224961184761</v>
      </c>
      <c r="X49" s="598">
        <f t="shared" si="72"/>
        <v>0.49670224961184761</v>
      </c>
      <c r="Y49" s="598">
        <f t="shared" si="72"/>
        <v>0.49670224961184761</v>
      </c>
      <c r="Z49" s="597">
        <f>Z48/Z10</f>
        <v>0.49670224961184761</v>
      </c>
    </row>
    <row r="50" spans="1:28" s="56" customFormat="1" ht="5.0999999999999996" customHeight="1">
      <c r="A50" s="53"/>
      <c r="B50" s="54"/>
      <c r="C50" s="54"/>
      <c r="D50" s="54"/>
      <c r="E50" s="55"/>
      <c r="F50" s="540"/>
      <c r="G50" s="537"/>
      <c r="H50" s="538"/>
      <c r="I50" s="538"/>
      <c r="J50" s="539"/>
      <c r="K50" s="540"/>
      <c r="L50" s="537"/>
      <c r="M50" s="538"/>
      <c r="N50" s="538"/>
      <c r="O50" s="539"/>
      <c r="P50" s="540"/>
      <c r="Q50" s="537"/>
      <c r="R50" s="538"/>
      <c r="S50" s="538"/>
      <c r="T50" s="539"/>
      <c r="U50" s="540"/>
      <c r="V50" s="537"/>
      <c r="W50" s="538"/>
      <c r="X50" s="538"/>
      <c r="Y50" s="539"/>
      <c r="Z50" s="540"/>
      <c r="AA50" s="52"/>
      <c r="AB50" s="52"/>
    </row>
    <row r="51" spans="1:28" s="2" customFormat="1">
      <c r="A51" s="13" t="s">
        <v>49</v>
      </c>
      <c r="B51" s="10" t="e">
        <f t="shared" ref="B51:P51" si="73">B41/(B18)*(1+B18)*1.2</f>
        <v>#DIV/0!</v>
      </c>
      <c r="C51" s="10" t="e">
        <f t="shared" si="73"/>
        <v>#DIV/0!</v>
      </c>
      <c r="D51" s="10" t="e">
        <f t="shared" si="73"/>
        <v>#DIV/0!</v>
      </c>
      <c r="E51" s="11" t="e">
        <f t="shared" si="73"/>
        <v>#DIV/0!</v>
      </c>
      <c r="F51" s="485" t="e">
        <f t="shared" si="73"/>
        <v>#DIV/0!</v>
      </c>
      <c r="G51" s="486" t="e">
        <f>G41/(G18)*(1+G18)*1.2</f>
        <v>#DIV/0!</v>
      </c>
      <c r="H51" s="487" t="e">
        <f t="shared" si="73"/>
        <v>#DIV/0!</v>
      </c>
      <c r="I51" s="487" t="e">
        <f t="shared" si="73"/>
        <v>#DIV/0!</v>
      </c>
      <c r="J51" s="488" t="e">
        <f t="shared" si="73"/>
        <v>#DIV/0!</v>
      </c>
      <c r="K51" s="485" t="e">
        <f t="shared" si="73"/>
        <v>#DIV/0!</v>
      </c>
      <c r="L51" s="486" t="e">
        <f t="shared" si="73"/>
        <v>#DIV/0!</v>
      </c>
      <c r="M51" s="487" t="e">
        <f>M41/(M18)*(1+M18)*1.2</f>
        <v>#DIV/0!</v>
      </c>
      <c r="N51" s="487" t="e">
        <f>N41/(N18)*(1+N18)*1.2</f>
        <v>#DIV/0!</v>
      </c>
      <c r="O51" s="488" t="e">
        <f t="shared" si="73"/>
        <v>#DIV/0!</v>
      </c>
      <c r="P51" s="485" t="e">
        <f t="shared" si="73"/>
        <v>#DIV/0!</v>
      </c>
      <c r="Q51" s="486" t="e">
        <f t="shared" ref="Q51" si="74">Q41/(Q18)*(1+Q18)*1.2</f>
        <v>#DIV/0!</v>
      </c>
      <c r="R51" s="487" t="e">
        <f>R41/(R18)*(1+R18)*1.2</f>
        <v>#DIV/0!</v>
      </c>
      <c r="S51" s="487" t="e">
        <f>S41/(S18)*(1+S18)*1.2</f>
        <v>#DIV/0!</v>
      </c>
      <c r="T51" s="488" t="e">
        <f t="shared" ref="T51:V51" si="75">T41/(T18)*(1+T18)*1.2</f>
        <v>#DIV/0!</v>
      </c>
      <c r="U51" s="485" t="e">
        <f t="shared" si="75"/>
        <v>#DIV/0!</v>
      </c>
      <c r="V51" s="486" t="e">
        <f t="shared" si="75"/>
        <v>#DIV/0!</v>
      </c>
      <c r="W51" s="487" t="e">
        <f>W41/(W18)*(1+W18)*1.2</f>
        <v>#DIV/0!</v>
      </c>
      <c r="X51" s="487" t="e">
        <f>X41/(X18)*(1+X18)*1.2</f>
        <v>#DIV/0!</v>
      </c>
      <c r="Y51" s="488" t="e">
        <f t="shared" ref="Y51:Z51" si="76">Y41/(Y18)*(1+Y18)*1.2</f>
        <v>#DIV/0!</v>
      </c>
      <c r="Z51" s="485" t="e">
        <f t="shared" si="76"/>
        <v>#DIV/0!</v>
      </c>
      <c r="AA51" s="52"/>
      <c r="AB51" s="52"/>
    </row>
    <row r="52" spans="1:28" s="2" customFormat="1" ht="13.5" thickBot="1">
      <c r="A52" s="24" t="s">
        <v>50</v>
      </c>
      <c r="B52" s="39" t="e">
        <f>(B41+$B$61*3)/(B14)*(1+B14)*1.2</f>
        <v>#DIV/0!</v>
      </c>
      <c r="C52" s="39" t="e">
        <f>(C41+$B$61*3)/(C14)*(1+C14)*1.2</f>
        <v>#DIV/0!</v>
      </c>
      <c r="D52" s="39" t="e">
        <f>(D41+$B$61*3)/(D14)*(1+D14)*1.2</f>
        <v>#DIV/0!</v>
      </c>
      <c r="E52" s="40" t="e">
        <f>(E41+$B$61*3)/(E14)*(1+E14)*1.2</f>
        <v>#DIV/0!</v>
      </c>
      <c r="F52" s="521" t="e">
        <f>(F41+$B$61*12)/(F14)*(1+F14)*1.2</f>
        <v>#DIV/0!</v>
      </c>
      <c r="G52" s="541" t="e">
        <f>(G41+$B$61*3)/(G14)*(1+G14)*1.2</f>
        <v>#DIV/0!</v>
      </c>
      <c r="H52" s="522" t="e">
        <f>(H41+$B$61*3)/(H14)*(1+H14)*1.2</f>
        <v>#DIV/0!</v>
      </c>
      <c r="I52" s="522" t="e">
        <f>(I41+$B$61*3)/(I14)*(1+I14)*1.2</f>
        <v>#DIV/0!</v>
      </c>
      <c r="J52" s="523" t="e">
        <f>(J41+$B$61*3)/(J14)*(1+J14)*1.2</f>
        <v>#DIV/0!</v>
      </c>
      <c r="K52" s="521" t="e">
        <f>(K41+$B$61*12)/(K14)*(1+K14)*1.2</f>
        <v>#DIV/0!</v>
      </c>
      <c r="L52" s="541" t="e">
        <f>(L41+$B$61*3)/(L14)*(1+L14)*1.2</f>
        <v>#DIV/0!</v>
      </c>
      <c r="M52" s="522" t="e">
        <f>(M41+$B$61*3)/(M14)*(1+M14)*1.2</f>
        <v>#DIV/0!</v>
      </c>
      <c r="N52" s="522" t="e">
        <f>(N41+$B$61*3)/(N14)*(1+N14)*1.2</f>
        <v>#DIV/0!</v>
      </c>
      <c r="O52" s="523" t="e">
        <f>(O41+$B$61*3)/(O14)*(1+O14)*1.2</f>
        <v>#DIV/0!</v>
      </c>
      <c r="P52" s="521" t="e">
        <f>(P41+$B$61*12)/(P14)*(1+P14)*1.2</f>
        <v>#DIV/0!</v>
      </c>
      <c r="Q52" s="541" t="e">
        <f>(Q41+$B$61*3)/(Q14)*(1+Q14)*1.2</f>
        <v>#DIV/0!</v>
      </c>
      <c r="R52" s="522" t="e">
        <f>(R41+$B$61*3)/(R14)*(1+R14)*1.2</f>
        <v>#DIV/0!</v>
      </c>
      <c r="S52" s="522" t="e">
        <f>(S41+$B$61*3)/(S14)*(1+S14)*1.2</f>
        <v>#DIV/0!</v>
      </c>
      <c r="T52" s="523" t="e">
        <f>(T41+$B$61*3)/(T14)*(1+T14)*1.2</f>
        <v>#DIV/0!</v>
      </c>
      <c r="U52" s="521" t="e">
        <f>(U41+$B$61*12)/(U14)*(1+U14)*1.2</f>
        <v>#DIV/0!</v>
      </c>
      <c r="V52" s="541" t="e">
        <f>(V41+$B$61*3)/(V14)*(1+V14)*1.2</f>
        <v>#DIV/0!</v>
      </c>
      <c r="W52" s="522" t="e">
        <f>(W41+$B$61*3)/(W14)*(1+W14)*1.2</f>
        <v>#DIV/0!</v>
      </c>
      <c r="X52" s="522" t="e">
        <f>(X41+$B$61*3)/(X14)*(1+X14)*1.2</f>
        <v>#DIV/0!</v>
      </c>
      <c r="Y52" s="523" t="e">
        <f>(Y41+$B$61*3)/(Y14)*(1+Y14)*1.2</f>
        <v>#DIV/0!</v>
      </c>
      <c r="Z52" s="521" t="e">
        <f>(Z41+$B$61*12)/(Z14)*(1+Z14)*1.2</f>
        <v>#DIV/0!</v>
      </c>
      <c r="AA52" s="52"/>
      <c r="AB52" s="52"/>
    </row>
    <row r="53" spans="1:28">
      <c r="A53" s="35"/>
      <c r="B53" s="35"/>
      <c r="C53" s="35"/>
      <c r="D53" s="35"/>
      <c r="E53" s="35"/>
      <c r="F53" s="542"/>
      <c r="G53" s="543"/>
      <c r="H53" s="543"/>
      <c r="I53" s="543"/>
      <c r="J53" s="543"/>
      <c r="K53" s="542"/>
      <c r="L53" s="543"/>
      <c r="M53" s="543"/>
      <c r="N53" s="543"/>
      <c r="O53" s="543"/>
      <c r="P53" s="542"/>
      <c r="Q53" s="543"/>
      <c r="R53" s="543"/>
      <c r="S53" s="543"/>
      <c r="T53" s="543"/>
      <c r="U53" s="542"/>
      <c r="V53" s="543"/>
      <c r="W53" s="543"/>
      <c r="X53" s="543"/>
      <c r="Y53" s="543"/>
      <c r="Z53" s="542"/>
      <c r="AA53" s="52"/>
      <c r="AB53" s="52"/>
    </row>
    <row r="54" spans="1:28" ht="13.5" thickBot="1">
      <c r="A54" s="35"/>
      <c r="B54" s="35"/>
      <c r="C54" s="35"/>
      <c r="D54" s="35"/>
      <c r="E54" s="35"/>
      <c r="F54" s="542"/>
      <c r="G54" s="543"/>
      <c r="H54" s="543"/>
      <c r="I54" s="543"/>
      <c r="J54" s="543"/>
      <c r="K54" s="542"/>
      <c r="L54" s="543"/>
      <c r="M54" s="543"/>
      <c r="N54" s="543"/>
      <c r="O54" s="543"/>
      <c r="P54" s="542"/>
      <c r="Q54" s="543"/>
      <c r="R54" s="543"/>
      <c r="S54" s="543"/>
      <c r="T54" s="543"/>
      <c r="U54" s="542"/>
      <c r="V54" s="543"/>
      <c r="W54" s="543"/>
      <c r="X54" s="543"/>
      <c r="Y54" s="543"/>
      <c r="Z54" s="542"/>
      <c r="AA54" s="52"/>
      <c r="AB54" s="52"/>
    </row>
    <row r="55" spans="1:28">
      <c r="A55" s="46" t="s">
        <v>51</v>
      </c>
      <c r="B55" s="570"/>
      <c r="C55" s="570"/>
      <c r="D55" s="570"/>
      <c r="E55" s="571"/>
      <c r="F55" s="564"/>
      <c r="G55" s="515"/>
      <c r="H55" s="516"/>
      <c r="I55" s="516"/>
      <c r="J55" s="517"/>
      <c r="K55" s="564"/>
      <c r="L55" s="515"/>
      <c r="M55" s="516"/>
      <c r="N55" s="516"/>
      <c r="O55" s="517"/>
      <c r="P55" s="564"/>
      <c r="Q55" s="515"/>
      <c r="R55" s="516"/>
      <c r="S55" s="516"/>
      <c r="T55" s="516"/>
      <c r="U55" s="544"/>
      <c r="V55" s="516"/>
      <c r="W55" s="516"/>
      <c r="X55" s="516"/>
      <c r="Y55" s="516"/>
      <c r="Z55" s="544"/>
      <c r="AA55" s="52"/>
      <c r="AB55" s="52"/>
    </row>
    <row r="56" spans="1:28">
      <c r="A56" s="13" t="s">
        <v>52</v>
      </c>
      <c r="B56" s="572"/>
      <c r="C56" s="572"/>
      <c r="D56" s="572"/>
      <c r="E56" s="573"/>
      <c r="F56" s="565"/>
      <c r="G56" s="489"/>
      <c r="H56" s="490"/>
      <c r="I56" s="490"/>
      <c r="J56" s="491"/>
      <c r="K56" s="565"/>
      <c r="L56" s="489"/>
      <c r="M56" s="490"/>
      <c r="N56" s="490"/>
      <c r="O56" s="491"/>
      <c r="P56" s="565"/>
      <c r="Q56" s="489"/>
      <c r="R56" s="490"/>
      <c r="S56" s="490"/>
      <c r="T56" s="490"/>
      <c r="U56" s="545"/>
      <c r="V56" s="490"/>
      <c r="W56" s="490"/>
      <c r="X56" s="490"/>
      <c r="Y56" s="490"/>
      <c r="Z56" s="545"/>
      <c r="AA56" s="52"/>
      <c r="AB56" s="52"/>
    </row>
    <row r="57" spans="1:28" s="559" customFormat="1">
      <c r="A57" s="555" t="s">
        <v>252</v>
      </c>
      <c r="B57" s="574"/>
      <c r="C57" s="574"/>
      <c r="D57" s="574"/>
      <c r="E57" s="575">
        <v>28615665.866759583</v>
      </c>
      <c r="F57" s="566">
        <f>'Свод по инвестициям в SAP'!G44</f>
        <v>28615665.866759583</v>
      </c>
      <c r="G57" s="562">
        <f>$K57/4</f>
        <v>4185135.3679999998</v>
      </c>
      <c r="H57" s="556">
        <f t="shared" ref="H57:J57" si="77">$K57/4</f>
        <v>4185135.3679999998</v>
      </c>
      <c r="I57" s="556">
        <f t="shared" si="77"/>
        <v>4185135.3679999998</v>
      </c>
      <c r="J57" s="561">
        <f t="shared" si="77"/>
        <v>4185135.3679999998</v>
      </c>
      <c r="K57" s="566">
        <f>'Свод по инвестициям в SAP'!J44</f>
        <v>16740541.471999999</v>
      </c>
      <c r="L57" s="562">
        <f>$P57/4</f>
        <v>9586842.7848000005</v>
      </c>
      <c r="M57" s="556">
        <f t="shared" ref="M57:O57" si="78">$P57/4</f>
        <v>9586842.7848000005</v>
      </c>
      <c r="N57" s="556">
        <f t="shared" si="78"/>
        <v>9586842.7848000005</v>
      </c>
      <c r="O57" s="561">
        <f t="shared" si="78"/>
        <v>9586842.7848000005</v>
      </c>
      <c r="P57" s="566">
        <f>'Свод по инвестициям в SAP'!M44</f>
        <v>38347371.139200002</v>
      </c>
      <c r="Q57" s="562"/>
      <c r="R57" s="556"/>
      <c r="S57" s="556"/>
      <c r="T57" s="556"/>
      <c r="U57" s="557"/>
      <c r="V57" s="556"/>
      <c r="W57" s="556"/>
      <c r="X57" s="556"/>
      <c r="Y57" s="556"/>
      <c r="Z57" s="557"/>
      <c r="AA57" s="558"/>
      <c r="AB57" s="558"/>
    </row>
    <row r="58" spans="1:28">
      <c r="A58" s="13" t="s">
        <v>53</v>
      </c>
      <c r="B58" s="572"/>
      <c r="C58" s="572"/>
      <c r="D58" s="572"/>
      <c r="E58" s="573"/>
      <c r="F58" s="565"/>
      <c r="G58" s="489"/>
      <c r="H58" s="490"/>
      <c r="I58" s="490"/>
      <c r="J58" s="491"/>
      <c r="K58" s="565"/>
      <c r="L58" s="489"/>
      <c r="M58" s="490"/>
      <c r="N58" s="490"/>
      <c r="O58" s="491"/>
      <c r="P58" s="565"/>
      <c r="Q58" s="489"/>
      <c r="R58" s="490"/>
      <c r="S58" s="490"/>
      <c r="T58" s="490"/>
      <c r="U58" s="545"/>
      <c r="V58" s="490"/>
      <c r="W58" s="490"/>
      <c r="X58" s="490"/>
      <c r="Y58" s="490"/>
      <c r="Z58" s="545"/>
      <c r="AA58" s="52"/>
      <c r="AB58" s="52"/>
    </row>
    <row r="59" spans="1:28">
      <c r="A59" s="13" t="s">
        <v>54</v>
      </c>
      <c r="B59" s="572"/>
      <c r="C59" s="572"/>
      <c r="D59" s="572"/>
      <c r="E59" s="573"/>
      <c r="F59" s="565"/>
      <c r="G59" s="489"/>
      <c r="H59" s="490"/>
      <c r="I59" s="490"/>
      <c r="J59" s="491"/>
      <c r="K59" s="565"/>
      <c r="L59" s="489"/>
      <c r="M59" s="490"/>
      <c r="N59" s="490"/>
      <c r="O59" s="491"/>
      <c r="P59" s="565"/>
      <c r="Q59" s="489"/>
      <c r="R59" s="490"/>
      <c r="S59" s="490"/>
      <c r="T59" s="490"/>
      <c r="U59" s="545"/>
      <c r="V59" s="490"/>
      <c r="W59" s="490"/>
      <c r="X59" s="490"/>
      <c r="Y59" s="490"/>
      <c r="Z59" s="545"/>
      <c r="AA59" s="52"/>
      <c r="AB59" s="52"/>
    </row>
    <row r="60" spans="1:28">
      <c r="A60" s="13" t="s">
        <v>55</v>
      </c>
      <c r="B60" s="572">
        <f>B57</f>
        <v>0</v>
      </c>
      <c r="C60" s="572">
        <f>B60+C57</f>
        <v>0</v>
      </c>
      <c r="D60" s="572">
        <f t="shared" ref="D60:E60" si="79">C60+D57</f>
        <v>0</v>
      </c>
      <c r="E60" s="573">
        <f t="shared" si="79"/>
        <v>28615665.866759583</v>
      </c>
      <c r="F60" s="565">
        <f>E60</f>
        <v>28615665.866759583</v>
      </c>
      <c r="G60" s="489">
        <f>F60+G57</f>
        <v>32800801.234759584</v>
      </c>
      <c r="H60" s="489">
        <f t="shared" ref="H60:J60" si="80">G60+H57</f>
        <v>36985936.602759585</v>
      </c>
      <c r="I60" s="489">
        <f t="shared" si="80"/>
        <v>41171071.970759585</v>
      </c>
      <c r="J60" s="568">
        <f t="shared" si="80"/>
        <v>45356207.338759586</v>
      </c>
      <c r="K60" s="565">
        <f>J60</f>
        <v>45356207.338759586</v>
      </c>
      <c r="L60" s="489">
        <f>K60+L57</f>
        <v>54943050.123559587</v>
      </c>
      <c r="M60" s="489">
        <f t="shared" ref="M60:O60" si="81">L60+M57</f>
        <v>64529892.908359587</v>
      </c>
      <c r="N60" s="489">
        <f t="shared" si="81"/>
        <v>74116735.69315958</v>
      </c>
      <c r="O60" s="568">
        <f t="shared" si="81"/>
        <v>83703578.477959573</v>
      </c>
      <c r="P60" s="485">
        <f>O60</f>
        <v>83703578.477959573</v>
      </c>
      <c r="Q60" s="489"/>
      <c r="R60" s="490"/>
      <c r="S60" s="490"/>
      <c r="T60" s="490"/>
      <c r="U60" s="545"/>
      <c r="V60" s="490"/>
      <c r="W60" s="490"/>
      <c r="X60" s="490"/>
      <c r="Y60" s="490"/>
      <c r="Z60" s="545"/>
      <c r="AA60" s="52"/>
      <c r="AB60" s="52"/>
    </row>
    <row r="61" spans="1:28" ht="13.5" thickBot="1">
      <c r="A61" s="24" t="s">
        <v>56</v>
      </c>
      <c r="B61" s="567"/>
      <c r="C61" s="567"/>
      <c r="D61" s="567"/>
      <c r="E61" s="567"/>
      <c r="F61" s="569"/>
      <c r="G61" s="576"/>
      <c r="H61" s="576"/>
      <c r="I61" s="576"/>
      <c r="J61" s="576"/>
      <c r="K61" s="569"/>
      <c r="L61" s="576"/>
      <c r="M61" s="576"/>
      <c r="N61" s="576"/>
      <c r="O61" s="576"/>
      <c r="P61" s="569"/>
      <c r="Q61" s="563"/>
      <c r="R61" s="546"/>
      <c r="S61" s="546"/>
      <c r="T61" s="546"/>
      <c r="U61" s="547"/>
      <c r="V61" s="546"/>
      <c r="W61" s="546"/>
      <c r="X61" s="546"/>
      <c r="Y61" s="546"/>
      <c r="Z61" s="547"/>
      <c r="AA61" s="52"/>
      <c r="AB61" s="52"/>
    </row>
  </sheetData>
  <mergeCells count="1">
    <mergeCell ref="A2:A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603"/>
  <sheetViews>
    <sheetView zoomScale="90" zoomScaleNormal="90" workbookViewId="0">
      <pane xSplit="13" ySplit="3" topLeftCell="N4" activePane="bottomRight" state="frozen"/>
      <selection pane="topRight" activeCell="N1" sqref="N1"/>
      <selection pane="bottomLeft" activeCell="A4" sqref="A4"/>
      <selection pane="bottomRight" activeCell="N29" sqref="N29"/>
    </sheetView>
  </sheetViews>
  <sheetFormatPr defaultRowHeight="15.75" outlineLevelCol="1"/>
  <cols>
    <col min="1" max="1" width="60.28515625" style="58" customWidth="1"/>
    <col min="2" max="10" width="14.85546875" style="58" customWidth="1" outlineLevel="1"/>
    <col min="11" max="13" width="16" style="58" customWidth="1" outlineLevel="1"/>
    <col min="14" max="16" width="16" style="468" bestFit="1" customWidth="1"/>
    <col min="17" max="17" width="17.85546875" style="468" bestFit="1" customWidth="1"/>
    <col min="18" max="18" width="8.85546875" style="67" customWidth="1"/>
    <col min="19" max="50" width="9.140625" style="67"/>
    <col min="51" max="16384" width="9.140625" style="58"/>
  </cols>
  <sheetData>
    <row r="1" spans="1:50">
      <c r="A1" s="57"/>
      <c r="B1" s="607" t="s">
        <v>57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</row>
    <row r="2" spans="1:50">
      <c r="A2" s="59" t="s">
        <v>58</v>
      </c>
      <c r="B2" s="608">
        <v>2021</v>
      </c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450">
        <v>2021</v>
      </c>
      <c r="O2" s="450">
        <v>2022</v>
      </c>
      <c r="P2" s="450">
        <v>2023</v>
      </c>
      <c r="Q2" s="450">
        <v>2024</v>
      </c>
    </row>
    <row r="3" spans="1:50">
      <c r="A3" s="60"/>
      <c r="B3" s="61" t="s">
        <v>59</v>
      </c>
      <c r="C3" s="61" t="s">
        <v>60</v>
      </c>
      <c r="D3" s="61" t="s">
        <v>61</v>
      </c>
      <c r="E3" s="61" t="s">
        <v>62</v>
      </c>
      <c r="F3" s="61" t="s">
        <v>63</v>
      </c>
      <c r="G3" s="61" t="s">
        <v>64</v>
      </c>
      <c r="H3" s="61" t="s">
        <v>65</v>
      </c>
      <c r="I3" s="61" t="s">
        <v>66</v>
      </c>
      <c r="J3" s="61" t="s">
        <v>67</v>
      </c>
      <c r="K3" s="61" t="s">
        <v>68</v>
      </c>
      <c r="L3" s="61" t="s">
        <v>69</v>
      </c>
      <c r="M3" s="61" t="s">
        <v>70</v>
      </c>
      <c r="N3" s="452"/>
      <c r="O3" s="452"/>
      <c r="P3" s="452"/>
      <c r="Q3" s="452"/>
    </row>
    <row r="4" spans="1:50">
      <c r="A4" s="57" t="s">
        <v>238</v>
      </c>
      <c r="B4" s="62">
        <v>10000</v>
      </c>
      <c r="C4" s="62">
        <v>20000</v>
      </c>
      <c r="D4" s="62">
        <v>30000</v>
      </c>
      <c r="E4" s="62">
        <v>40000</v>
      </c>
      <c r="F4" s="62">
        <v>50000</v>
      </c>
      <c r="G4" s="62">
        <v>60000</v>
      </c>
      <c r="H4" s="62">
        <v>70000</v>
      </c>
      <c r="I4" s="62">
        <v>80000</v>
      </c>
      <c r="J4" s="62">
        <v>90000</v>
      </c>
      <c r="K4" s="62">
        <v>100000</v>
      </c>
      <c r="L4" s="62">
        <v>110000</v>
      </c>
      <c r="M4" s="62">
        <v>120000</v>
      </c>
      <c r="N4" s="453">
        <f>M4</f>
        <v>120000</v>
      </c>
      <c r="O4" s="453">
        <v>150000</v>
      </c>
      <c r="P4" s="453">
        <v>180000</v>
      </c>
      <c r="Q4" s="453">
        <v>200000</v>
      </c>
    </row>
    <row r="5" spans="1:50">
      <c r="A5" s="60" t="s">
        <v>71</v>
      </c>
      <c r="B5" s="62">
        <f>B4*20%</f>
        <v>2000</v>
      </c>
      <c r="C5" s="62">
        <f t="shared" ref="C5:M5" si="0">C4*20%</f>
        <v>4000</v>
      </c>
      <c r="D5" s="62">
        <f t="shared" si="0"/>
        <v>6000</v>
      </c>
      <c r="E5" s="62">
        <f t="shared" si="0"/>
        <v>8000</v>
      </c>
      <c r="F5" s="62">
        <f t="shared" si="0"/>
        <v>10000</v>
      </c>
      <c r="G5" s="62">
        <f t="shared" si="0"/>
        <v>12000</v>
      </c>
      <c r="H5" s="62">
        <f t="shared" si="0"/>
        <v>14000</v>
      </c>
      <c r="I5" s="62">
        <f t="shared" si="0"/>
        <v>16000</v>
      </c>
      <c r="J5" s="62">
        <f t="shared" si="0"/>
        <v>18000</v>
      </c>
      <c r="K5" s="62">
        <f t="shared" si="0"/>
        <v>20000</v>
      </c>
      <c r="L5" s="62">
        <f t="shared" si="0"/>
        <v>22000</v>
      </c>
      <c r="M5" s="62">
        <f t="shared" si="0"/>
        <v>24000</v>
      </c>
      <c r="N5" s="453">
        <f>M5</f>
        <v>24000</v>
      </c>
      <c r="O5" s="453">
        <v>36000</v>
      </c>
      <c r="P5" s="453">
        <v>48000</v>
      </c>
      <c r="Q5" s="453">
        <v>60000</v>
      </c>
    </row>
    <row r="6" spans="1:50" ht="31.5">
      <c r="A6" s="63" t="s">
        <v>72</v>
      </c>
      <c r="B6" s="64">
        <f>B4*100</f>
        <v>1000000</v>
      </c>
      <c r="C6" s="64">
        <f t="shared" ref="C6:M6" si="1">C4*100</f>
        <v>2000000</v>
      </c>
      <c r="D6" s="64">
        <f t="shared" si="1"/>
        <v>3000000</v>
      </c>
      <c r="E6" s="64">
        <f t="shared" si="1"/>
        <v>4000000</v>
      </c>
      <c r="F6" s="64">
        <f t="shared" si="1"/>
        <v>5000000</v>
      </c>
      <c r="G6" s="64">
        <f t="shared" si="1"/>
        <v>6000000</v>
      </c>
      <c r="H6" s="64">
        <f t="shared" si="1"/>
        <v>7000000</v>
      </c>
      <c r="I6" s="64">
        <f t="shared" si="1"/>
        <v>8000000</v>
      </c>
      <c r="J6" s="64">
        <f t="shared" si="1"/>
        <v>9000000</v>
      </c>
      <c r="K6" s="64">
        <f t="shared" si="1"/>
        <v>10000000</v>
      </c>
      <c r="L6" s="64">
        <f t="shared" si="1"/>
        <v>11000000</v>
      </c>
      <c r="M6" s="64">
        <f t="shared" si="1"/>
        <v>12000000</v>
      </c>
      <c r="N6" s="454">
        <f>M6</f>
        <v>12000000</v>
      </c>
      <c r="O6" s="454">
        <f>O5*100*12</f>
        <v>43200000</v>
      </c>
      <c r="P6" s="454">
        <f>P5*100*12</f>
        <v>57600000</v>
      </c>
      <c r="Q6" s="454">
        <f>Q5*100*12</f>
        <v>72000000</v>
      </c>
    </row>
    <row r="7" spans="1:50" s="67" customFormat="1" ht="31.5">
      <c r="A7" s="65" t="s">
        <v>73</v>
      </c>
      <c r="B7" s="66">
        <f>B4*5%*4000</f>
        <v>2000000</v>
      </c>
      <c r="C7" s="66">
        <f t="shared" ref="C7:M7" si="2">C4*5%*4000</f>
        <v>4000000</v>
      </c>
      <c r="D7" s="66">
        <f t="shared" si="2"/>
        <v>6000000</v>
      </c>
      <c r="E7" s="66">
        <f t="shared" si="2"/>
        <v>8000000</v>
      </c>
      <c r="F7" s="66">
        <f t="shared" si="2"/>
        <v>10000000</v>
      </c>
      <c r="G7" s="66">
        <f t="shared" si="2"/>
        <v>12000000</v>
      </c>
      <c r="H7" s="66">
        <f t="shared" si="2"/>
        <v>14000000</v>
      </c>
      <c r="I7" s="66">
        <f t="shared" si="2"/>
        <v>16000000</v>
      </c>
      <c r="J7" s="66">
        <f t="shared" si="2"/>
        <v>18000000</v>
      </c>
      <c r="K7" s="66">
        <f t="shared" si="2"/>
        <v>20000000</v>
      </c>
      <c r="L7" s="66">
        <f t="shared" si="2"/>
        <v>22000000</v>
      </c>
      <c r="M7" s="66">
        <f t="shared" si="2"/>
        <v>24000000</v>
      </c>
      <c r="N7" s="451">
        <f>SUM(B7:M7)</f>
        <v>156000000</v>
      </c>
      <c r="O7" s="451">
        <f>O4*10%*4000*12</f>
        <v>720000000</v>
      </c>
      <c r="P7" s="451">
        <f>P4*10%*4000*12</f>
        <v>864000000</v>
      </c>
      <c r="Q7" s="451">
        <f>Q4*10%*4000*12</f>
        <v>960000000</v>
      </c>
    </row>
    <row r="8" spans="1:50">
      <c r="A8" s="68" t="s">
        <v>74</v>
      </c>
      <c r="B8" s="69">
        <f>B4*1600</f>
        <v>16000000</v>
      </c>
      <c r="C8" s="69">
        <f t="shared" ref="C8:M8" si="3">C4*1600</f>
        <v>32000000</v>
      </c>
      <c r="D8" s="69">
        <f t="shared" si="3"/>
        <v>48000000</v>
      </c>
      <c r="E8" s="69">
        <f t="shared" si="3"/>
        <v>64000000</v>
      </c>
      <c r="F8" s="69">
        <f t="shared" si="3"/>
        <v>80000000</v>
      </c>
      <c r="G8" s="69">
        <f t="shared" si="3"/>
        <v>96000000</v>
      </c>
      <c r="H8" s="69">
        <f t="shared" si="3"/>
        <v>112000000</v>
      </c>
      <c r="I8" s="69">
        <f t="shared" si="3"/>
        <v>128000000</v>
      </c>
      <c r="J8" s="69">
        <f t="shared" si="3"/>
        <v>144000000</v>
      </c>
      <c r="K8" s="69">
        <f t="shared" si="3"/>
        <v>160000000</v>
      </c>
      <c r="L8" s="69">
        <f t="shared" si="3"/>
        <v>176000000</v>
      </c>
      <c r="M8" s="69">
        <f t="shared" si="3"/>
        <v>192000000</v>
      </c>
      <c r="N8" s="455">
        <f>SUM(B8:M8)</f>
        <v>1248000000</v>
      </c>
      <c r="O8" s="455">
        <f>O4*1600*12</f>
        <v>2880000000</v>
      </c>
      <c r="P8" s="455">
        <f t="shared" ref="P8:Q8" si="4">P4*1600*12</f>
        <v>3456000000</v>
      </c>
      <c r="Q8" s="455">
        <f t="shared" si="4"/>
        <v>3840000000</v>
      </c>
    </row>
    <row r="9" spans="1:50">
      <c r="A9" s="68" t="s">
        <v>75</v>
      </c>
      <c r="B9" s="69">
        <f>B4*400</f>
        <v>4000000</v>
      </c>
      <c r="C9" s="69">
        <f t="shared" ref="C9:M9" si="5">C4*400</f>
        <v>8000000</v>
      </c>
      <c r="D9" s="69">
        <f t="shared" si="5"/>
        <v>12000000</v>
      </c>
      <c r="E9" s="69">
        <f t="shared" si="5"/>
        <v>16000000</v>
      </c>
      <c r="F9" s="69">
        <f t="shared" si="5"/>
        <v>20000000</v>
      </c>
      <c r="G9" s="69">
        <f t="shared" si="5"/>
        <v>24000000</v>
      </c>
      <c r="H9" s="69">
        <f t="shared" si="5"/>
        <v>28000000</v>
      </c>
      <c r="I9" s="69">
        <f t="shared" si="5"/>
        <v>32000000</v>
      </c>
      <c r="J9" s="69">
        <f t="shared" si="5"/>
        <v>36000000</v>
      </c>
      <c r="K9" s="69">
        <f t="shared" si="5"/>
        <v>40000000</v>
      </c>
      <c r="L9" s="69">
        <f t="shared" si="5"/>
        <v>44000000</v>
      </c>
      <c r="M9" s="69">
        <f t="shared" si="5"/>
        <v>48000000</v>
      </c>
      <c r="N9" s="455">
        <f>SUM(B9:M9)</f>
        <v>312000000</v>
      </c>
      <c r="O9" s="455">
        <f>O4*400*12</f>
        <v>720000000</v>
      </c>
      <c r="P9" s="455">
        <f t="shared" ref="P9:Q9" si="6">P4*400*12</f>
        <v>864000000</v>
      </c>
      <c r="Q9" s="455">
        <f t="shared" si="6"/>
        <v>960000000</v>
      </c>
    </row>
    <row r="10" spans="1:50">
      <c r="A10" s="68" t="s">
        <v>76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455">
        <f>SUM(B10:M10)</f>
        <v>0</v>
      </c>
      <c r="O10" s="455">
        <v>0</v>
      </c>
      <c r="P10" s="455">
        <v>0</v>
      </c>
      <c r="Q10" s="455">
        <v>0</v>
      </c>
    </row>
    <row r="11" spans="1:50">
      <c r="A11" s="70" t="s">
        <v>77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456"/>
      <c r="O11" s="456"/>
      <c r="P11" s="456"/>
      <c r="Q11" s="456"/>
    </row>
    <row r="12" spans="1:50">
      <c r="A12" s="60" t="s">
        <v>78</v>
      </c>
      <c r="B12" s="71">
        <f>B5*5000</f>
        <v>10000000</v>
      </c>
      <c r="C12" s="71">
        <f t="shared" ref="C12:M12" si="7">C5*5000</f>
        <v>20000000</v>
      </c>
      <c r="D12" s="71">
        <f t="shared" si="7"/>
        <v>30000000</v>
      </c>
      <c r="E12" s="71">
        <f t="shared" si="7"/>
        <v>40000000</v>
      </c>
      <c r="F12" s="71">
        <f t="shared" si="7"/>
        <v>50000000</v>
      </c>
      <c r="G12" s="71">
        <f t="shared" si="7"/>
        <v>60000000</v>
      </c>
      <c r="H12" s="71">
        <f t="shared" si="7"/>
        <v>70000000</v>
      </c>
      <c r="I12" s="71">
        <f t="shared" si="7"/>
        <v>80000000</v>
      </c>
      <c r="J12" s="71">
        <f t="shared" si="7"/>
        <v>90000000</v>
      </c>
      <c r="K12" s="71">
        <f t="shared" si="7"/>
        <v>100000000</v>
      </c>
      <c r="L12" s="71">
        <f t="shared" si="7"/>
        <v>110000000</v>
      </c>
      <c r="M12" s="71">
        <f t="shared" si="7"/>
        <v>120000000</v>
      </c>
      <c r="N12" s="457">
        <f>M12</f>
        <v>120000000</v>
      </c>
      <c r="O12" s="457">
        <f>O5*5000</f>
        <v>180000000</v>
      </c>
      <c r="P12" s="457">
        <f>P5*5000</f>
        <v>240000000</v>
      </c>
      <c r="Q12" s="457">
        <f>Q5*5000</f>
        <v>300000000</v>
      </c>
    </row>
    <row r="13" spans="1:50">
      <c r="A13" s="70" t="s">
        <v>79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456"/>
      <c r="O13" s="456"/>
      <c r="P13" s="456"/>
      <c r="Q13" s="456"/>
    </row>
    <row r="14" spans="1:50">
      <c r="A14" s="72" t="s">
        <v>80</v>
      </c>
      <c r="B14" s="73">
        <f>B5*1000</f>
        <v>2000000</v>
      </c>
      <c r="C14" s="73">
        <f t="shared" ref="C14:M14" si="8">C5*1000</f>
        <v>4000000</v>
      </c>
      <c r="D14" s="73">
        <f t="shared" si="8"/>
        <v>6000000</v>
      </c>
      <c r="E14" s="73">
        <f t="shared" si="8"/>
        <v>8000000</v>
      </c>
      <c r="F14" s="73">
        <f t="shared" si="8"/>
        <v>10000000</v>
      </c>
      <c r="G14" s="73">
        <f t="shared" si="8"/>
        <v>12000000</v>
      </c>
      <c r="H14" s="73">
        <f t="shared" si="8"/>
        <v>14000000</v>
      </c>
      <c r="I14" s="73">
        <f t="shared" si="8"/>
        <v>16000000</v>
      </c>
      <c r="J14" s="73">
        <f t="shared" si="8"/>
        <v>18000000</v>
      </c>
      <c r="K14" s="73">
        <f t="shared" si="8"/>
        <v>20000000</v>
      </c>
      <c r="L14" s="73">
        <f t="shared" si="8"/>
        <v>22000000</v>
      </c>
      <c r="M14" s="73">
        <f t="shared" si="8"/>
        <v>24000000</v>
      </c>
      <c r="N14" s="458">
        <f>M14</f>
        <v>24000000</v>
      </c>
      <c r="O14" s="458">
        <f>O5*1000</f>
        <v>36000000</v>
      </c>
      <c r="P14" s="458">
        <f t="shared" ref="P14:Q14" si="9">P5*1000</f>
        <v>48000000</v>
      </c>
      <c r="Q14" s="458">
        <f t="shared" si="9"/>
        <v>60000000</v>
      </c>
    </row>
    <row r="15" spans="1:50">
      <c r="A15" s="72" t="s">
        <v>81</v>
      </c>
      <c r="B15" s="71">
        <f>B12</f>
        <v>10000000</v>
      </c>
      <c r="C15" s="71">
        <f>C12</f>
        <v>20000000</v>
      </c>
      <c r="D15" s="71">
        <f t="shared" ref="D15:M15" si="10">D12</f>
        <v>30000000</v>
      </c>
      <c r="E15" s="71">
        <f t="shared" si="10"/>
        <v>40000000</v>
      </c>
      <c r="F15" s="71">
        <f t="shared" si="10"/>
        <v>50000000</v>
      </c>
      <c r="G15" s="71">
        <f t="shared" si="10"/>
        <v>60000000</v>
      </c>
      <c r="H15" s="71">
        <f t="shared" si="10"/>
        <v>70000000</v>
      </c>
      <c r="I15" s="71">
        <f t="shared" si="10"/>
        <v>80000000</v>
      </c>
      <c r="J15" s="71">
        <f t="shared" si="10"/>
        <v>90000000</v>
      </c>
      <c r="K15" s="71">
        <f t="shared" si="10"/>
        <v>100000000</v>
      </c>
      <c r="L15" s="71">
        <f t="shared" si="10"/>
        <v>110000000</v>
      </c>
      <c r="M15" s="71">
        <f t="shared" si="10"/>
        <v>120000000</v>
      </c>
      <c r="N15" s="457">
        <f>M15</f>
        <v>120000000</v>
      </c>
      <c r="O15" s="457">
        <f>O12</f>
        <v>180000000</v>
      </c>
      <c r="P15" s="457">
        <f t="shared" ref="P15" si="11">P12</f>
        <v>240000000</v>
      </c>
      <c r="Q15" s="457">
        <f>Q12</f>
        <v>300000000</v>
      </c>
    </row>
    <row r="16" spans="1:50" s="449" customFormat="1">
      <c r="A16" s="81" t="s">
        <v>82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59"/>
      <c r="O16" s="459"/>
      <c r="P16" s="459"/>
      <c r="Q16" s="459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</row>
    <row r="17" spans="1:17">
      <c r="A17" s="74" t="s">
        <v>237</v>
      </c>
      <c r="B17" s="75">
        <f>B18+B19+B20+B21+B22+B23</f>
        <v>512083.33333333337</v>
      </c>
      <c r="C17" s="75">
        <f t="shared" ref="C17:M17" si="12">C18+C19+C20+C21+C22+C23</f>
        <v>1024166.6666666667</v>
      </c>
      <c r="D17" s="75">
        <f t="shared" si="12"/>
        <v>1536250</v>
      </c>
      <c r="E17" s="75">
        <f t="shared" si="12"/>
        <v>2048333.3333333335</v>
      </c>
      <c r="F17" s="75">
        <f t="shared" si="12"/>
        <v>2560416.666666667</v>
      </c>
      <c r="G17" s="75">
        <f t="shared" si="12"/>
        <v>3072500</v>
      </c>
      <c r="H17" s="75">
        <f t="shared" si="12"/>
        <v>3584583.333333333</v>
      </c>
      <c r="I17" s="75">
        <f t="shared" si="12"/>
        <v>4096666.666666667</v>
      </c>
      <c r="J17" s="75">
        <f t="shared" si="12"/>
        <v>4608750</v>
      </c>
      <c r="K17" s="75">
        <f t="shared" si="12"/>
        <v>5120833.333333334</v>
      </c>
      <c r="L17" s="75">
        <f t="shared" si="12"/>
        <v>5632916.666666667</v>
      </c>
      <c r="M17" s="75">
        <f t="shared" si="12"/>
        <v>6145000</v>
      </c>
      <c r="N17" s="460">
        <f t="shared" ref="N17:N24" si="13">SUM(B17:M17)</f>
        <v>39942500</v>
      </c>
      <c r="O17" s="460">
        <f t="shared" ref="O17:Q17" si="14">O18+O19+O20+O21+O22+O23</f>
        <v>107316000</v>
      </c>
      <c r="P17" s="460">
        <f t="shared" si="14"/>
        <v>138528000</v>
      </c>
      <c r="Q17" s="460">
        <f t="shared" si="14"/>
        <v>167460000</v>
      </c>
    </row>
    <row r="18" spans="1:17" ht="40.5">
      <c r="A18" s="76" t="s">
        <v>249</v>
      </c>
      <c r="B18" s="64">
        <f>B6*5.5%/12</f>
        <v>4583.333333333333</v>
      </c>
      <c r="C18" s="64">
        <f t="shared" ref="C18:M18" si="15">C6*5.5%/12</f>
        <v>9166.6666666666661</v>
      </c>
      <c r="D18" s="64">
        <f t="shared" si="15"/>
        <v>13750</v>
      </c>
      <c r="E18" s="64">
        <f t="shared" si="15"/>
        <v>18333.333333333332</v>
      </c>
      <c r="F18" s="64">
        <f t="shared" si="15"/>
        <v>22916.666666666668</v>
      </c>
      <c r="G18" s="64">
        <f t="shared" si="15"/>
        <v>27500</v>
      </c>
      <c r="H18" s="64">
        <f t="shared" si="15"/>
        <v>32083.333333333332</v>
      </c>
      <c r="I18" s="64">
        <f t="shared" si="15"/>
        <v>36666.666666666664</v>
      </c>
      <c r="J18" s="64">
        <f t="shared" si="15"/>
        <v>41250</v>
      </c>
      <c r="K18" s="64">
        <f t="shared" si="15"/>
        <v>45833.333333333336</v>
      </c>
      <c r="L18" s="64">
        <f t="shared" si="15"/>
        <v>50416.666666666664</v>
      </c>
      <c r="M18" s="64">
        <f t="shared" si="15"/>
        <v>55000</v>
      </c>
      <c r="N18" s="454">
        <f t="shared" si="13"/>
        <v>357500</v>
      </c>
      <c r="O18" s="454">
        <f>O6*5.5%</f>
        <v>2376000</v>
      </c>
      <c r="P18" s="454">
        <f t="shared" ref="P18:Q18" si="16">P6*5.5%</f>
        <v>3168000</v>
      </c>
      <c r="Q18" s="454">
        <f t="shared" si="16"/>
        <v>3960000</v>
      </c>
    </row>
    <row r="19" spans="1:17" ht="28.5">
      <c r="A19" s="77" t="s">
        <v>248</v>
      </c>
      <c r="B19" s="69">
        <f>B14*1.5%/12</f>
        <v>2500</v>
      </c>
      <c r="C19" s="69">
        <f t="shared" ref="C19:M19" si="17">C14*1.5%/12</f>
        <v>5000</v>
      </c>
      <c r="D19" s="69">
        <f t="shared" si="17"/>
        <v>7500</v>
      </c>
      <c r="E19" s="69">
        <f t="shared" si="17"/>
        <v>10000</v>
      </c>
      <c r="F19" s="69">
        <f t="shared" si="17"/>
        <v>12500</v>
      </c>
      <c r="G19" s="69">
        <f t="shared" si="17"/>
        <v>15000</v>
      </c>
      <c r="H19" s="69">
        <f t="shared" si="17"/>
        <v>17500</v>
      </c>
      <c r="I19" s="69">
        <f t="shared" si="17"/>
        <v>20000</v>
      </c>
      <c r="J19" s="69">
        <f t="shared" si="17"/>
        <v>22500</v>
      </c>
      <c r="K19" s="69">
        <f t="shared" si="17"/>
        <v>25000</v>
      </c>
      <c r="L19" s="69">
        <f t="shared" si="17"/>
        <v>27500</v>
      </c>
      <c r="M19" s="69">
        <f t="shared" si="17"/>
        <v>30000</v>
      </c>
      <c r="N19" s="455">
        <f t="shared" si="13"/>
        <v>195000</v>
      </c>
      <c r="O19" s="455">
        <f>O14*1.5%</f>
        <v>540000</v>
      </c>
      <c r="P19" s="455">
        <f t="shared" ref="P19:Q19" si="18">P14*1.5%</f>
        <v>720000</v>
      </c>
      <c r="Q19" s="455">
        <f t="shared" si="18"/>
        <v>900000</v>
      </c>
    </row>
    <row r="20" spans="1:17" ht="28.5">
      <c r="A20" s="77" t="s">
        <v>247</v>
      </c>
      <c r="B20" s="78">
        <f>(B8+B9)*0.85%</f>
        <v>170000</v>
      </c>
      <c r="C20" s="78">
        <f t="shared" ref="C20:M20" si="19">(C8+C9)*0.85%</f>
        <v>340000</v>
      </c>
      <c r="D20" s="78">
        <f t="shared" si="19"/>
        <v>510000.00000000006</v>
      </c>
      <c r="E20" s="78">
        <f t="shared" si="19"/>
        <v>680000</v>
      </c>
      <c r="F20" s="78">
        <f t="shared" si="19"/>
        <v>850000.00000000012</v>
      </c>
      <c r="G20" s="78">
        <f t="shared" si="19"/>
        <v>1020000.0000000001</v>
      </c>
      <c r="H20" s="78">
        <f t="shared" si="19"/>
        <v>1190000</v>
      </c>
      <c r="I20" s="78">
        <f t="shared" si="19"/>
        <v>1360000</v>
      </c>
      <c r="J20" s="78">
        <f t="shared" si="19"/>
        <v>1530000</v>
      </c>
      <c r="K20" s="78">
        <f t="shared" si="19"/>
        <v>1700000.0000000002</v>
      </c>
      <c r="L20" s="78">
        <f t="shared" si="19"/>
        <v>1870000.0000000002</v>
      </c>
      <c r="M20" s="78">
        <f t="shared" si="19"/>
        <v>2040000.0000000002</v>
      </c>
      <c r="N20" s="461">
        <f t="shared" si="13"/>
        <v>13260000</v>
      </c>
      <c r="O20" s="461">
        <f>(O8+O9)*0.85%</f>
        <v>30600000.000000004</v>
      </c>
      <c r="P20" s="461">
        <f>(P8+P9)*0.85%</f>
        <v>36720000</v>
      </c>
      <c r="Q20" s="461">
        <f>(Q8+Q9)*0.85%</f>
        <v>40800000</v>
      </c>
    </row>
    <row r="21" spans="1:17">
      <c r="A21" s="77" t="s">
        <v>83</v>
      </c>
      <c r="B21" s="69">
        <f>B10*0.85%</f>
        <v>0</v>
      </c>
      <c r="C21" s="69">
        <f t="shared" ref="C21:M21" si="20">C10*0.85%</f>
        <v>0</v>
      </c>
      <c r="D21" s="69">
        <f t="shared" si="20"/>
        <v>0</v>
      </c>
      <c r="E21" s="69">
        <f t="shared" si="20"/>
        <v>0</v>
      </c>
      <c r="F21" s="69">
        <f t="shared" si="20"/>
        <v>0</v>
      </c>
      <c r="G21" s="69">
        <f t="shared" si="20"/>
        <v>0</v>
      </c>
      <c r="H21" s="69">
        <f t="shared" si="20"/>
        <v>0</v>
      </c>
      <c r="I21" s="69">
        <f t="shared" si="20"/>
        <v>0</v>
      </c>
      <c r="J21" s="69">
        <f t="shared" si="20"/>
        <v>0</v>
      </c>
      <c r="K21" s="69">
        <f t="shared" si="20"/>
        <v>0</v>
      </c>
      <c r="L21" s="69">
        <f t="shared" si="20"/>
        <v>0</v>
      </c>
      <c r="M21" s="69">
        <f t="shared" si="20"/>
        <v>0</v>
      </c>
      <c r="N21" s="455">
        <f t="shared" si="13"/>
        <v>0</v>
      </c>
      <c r="O21" s="462">
        <f>O10*0.85%</f>
        <v>0</v>
      </c>
      <c r="P21" s="462">
        <f>P10*0.85%</f>
        <v>0</v>
      </c>
      <c r="Q21" s="462">
        <f>Q10*0.85%</f>
        <v>0</v>
      </c>
    </row>
    <row r="22" spans="1:17" ht="27" customHeight="1">
      <c r="A22" s="471" t="s">
        <v>246</v>
      </c>
      <c r="B22" s="79">
        <f>B12*39%/12</f>
        <v>325000</v>
      </c>
      <c r="C22" s="79">
        <f t="shared" ref="C22:M22" si="21">C12*39%/12</f>
        <v>650000</v>
      </c>
      <c r="D22" s="79">
        <f t="shared" si="21"/>
        <v>975000</v>
      </c>
      <c r="E22" s="79">
        <f t="shared" si="21"/>
        <v>1300000</v>
      </c>
      <c r="F22" s="79">
        <f t="shared" si="21"/>
        <v>1625000</v>
      </c>
      <c r="G22" s="79">
        <f t="shared" si="21"/>
        <v>1950000</v>
      </c>
      <c r="H22" s="79">
        <f t="shared" si="21"/>
        <v>2275000</v>
      </c>
      <c r="I22" s="79">
        <f t="shared" si="21"/>
        <v>2600000</v>
      </c>
      <c r="J22" s="79">
        <f t="shared" si="21"/>
        <v>2925000</v>
      </c>
      <c r="K22" s="79">
        <f t="shared" si="21"/>
        <v>3250000</v>
      </c>
      <c r="L22" s="79">
        <f t="shared" si="21"/>
        <v>3575000</v>
      </c>
      <c r="M22" s="79">
        <f t="shared" si="21"/>
        <v>3900000</v>
      </c>
      <c r="N22" s="463">
        <f t="shared" si="13"/>
        <v>25350000</v>
      </c>
      <c r="O22" s="464">
        <f>O12*39%</f>
        <v>70200000</v>
      </c>
      <c r="P22" s="464">
        <f>P12*39%</f>
        <v>93600000</v>
      </c>
      <c r="Q22" s="464">
        <f>Q12*39%</f>
        <v>117000000</v>
      </c>
    </row>
    <row r="23" spans="1:17" ht="28.5" customHeight="1">
      <c r="A23" s="471" t="s">
        <v>245</v>
      </c>
      <c r="B23" s="80">
        <f>B7*0.5%</f>
        <v>10000</v>
      </c>
      <c r="C23" s="80">
        <f t="shared" ref="C23:M23" si="22">C7*0.5%</f>
        <v>20000</v>
      </c>
      <c r="D23" s="80">
        <f t="shared" si="22"/>
        <v>30000</v>
      </c>
      <c r="E23" s="80">
        <f t="shared" si="22"/>
        <v>40000</v>
      </c>
      <c r="F23" s="80">
        <f t="shared" si="22"/>
        <v>50000</v>
      </c>
      <c r="G23" s="80">
        <f t="shared" si="22"/>
        <v>60000</v>
      </c>
      <c r="H23" s="80">
        <f t="shared" si="22"/>
        <v>70000</v>
      </c>
      <c r="I23" s="80">
        <f t="shared" si="22"/>
        <v>80000</v>
      </c>
      <c r="J23" s="80">
        <f t="shared" si="22"/>
        <v>90000</v>
      </c>
      <c r="K23" s="80">
        <f t="shared" si="22"/>
        <v>100000</v>
      </c>
      <c r="L23" s="80">
        <f t="shared" si="22"/>
        <v>110000</v>
      </c>
      <c r="M23" s="80">
        <f t="shared" si="22"/>
        <v>120000</v>
      </c>
      <c r="N23" s="465">
        <f t="shared" si="13"/>
        <v>780000</v>
      </c>
      <c r="O23" s="465">
        <f>O7*0.5%</f>
        <v>3600000</v>
      </c>
      <c r="P23" s="465">
        <f t="shared" ref="P23:Q23" si="23">P7*0.5%</f>
        <v>4320000</v>
      </c>
      <c r="Q23" s="465">
        <f t="shared" si="23"/>
        <v>4800000</v>
      </c>
    </row>
    <row r="24" spans="1:17">
      <c r="A24" s="81" t="s">
        <v>43</v>
      </c>
      <c r="B24" s="82">
        <f t="shared" ref="B24:M24" si="24">B26+B27+B28+B29+B30</f>
        <v>2709565.1333333333</v>
      </c>
      <c r="C24" s="82">
        <f t="shared" si="24"/>
        <v>2995798.2666666666</v>
      </c>
      <c r="D24" s="82">
        <f t="shared" si="24"/>
        <v>3262331.4000000004</v>
      </c>
      <c r="E24" s="82">
        <f t="shared" si="24"/>
        <v>3502164.7333333334</v>
      </c>
      <c r="F24" s="82">
        <f t="shared" si="24"/>
        <v>3787998.0666666664</v>
      </c>
      <c r="G24" s="82">
        <f t="shared" si="24"/>
        <v>4039431.4</v>
      </c>
      <c r="H24" s="82">
        <f t="shared" si="24"/>
        <v>4362735.2133333366</v>
      </c>
      <c r="I24" s="82">
        <f t="shared" si="24"/>
        <v>4611168.5466666669</v>
      </c>
      <c r="J24" s="82">
        <f t="shared" si="24"/>
        <v>4858601.8799999962</v>
      </c>
      <c r="K24" s="82">
        <f t="shared" si="24"/>
        <v>5106035.2133333329</v>
      </c>
      <c r="L24" s="82">
        <f t="shared" si="24"/>
        <v>5338068.5466666659</v>
      </c>
      <c r="M24" s="82">
        <f t="shared" si="24"/>
        <v>5570101.8800000045</v>
      </c>
      <c r="N24" s="466">
        <f t="shared" si="13"/>
        <v>50144000.280000001</v>
      </c>
      <c r="O24" s="466">
        <f>O26+O27+O28+O29+O30</f>
        <v>64514422.559999935</v>
      </c>
      <c r="P24" s="466">
        <f>P26+P27+P28+P29+P30</f>
        <v>78708422.560000002</v>
      </c>
      <c r="Q24" s="466">
        <f>Q26+Q27+Q28+Q29+Q30</f>
        <v>84282241.280000001</v>
      </c>
    </row>
    <row r="25" spans="1:17">
      <c r="A25" s="83" t="s">
        <v>84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465"/>
      <c r="O25" s="465"/>
      <c r="P25" s="465"/>
      <c r="Q25" s="465"/>
    </row>
    <row r="26" spans="1:17" ht="28.5">
      <c r="A26" s="84" t="s">
        <v>251</v>
      </c>
      <c r="B26" s="80">
        <f>[1]расходы!K12</f>
        <v>636231.79999999993</v>
      </c>
      <c r="C26" s="80">
        <f>[1]расходы!L12</f>
        <v>849131.60000000009</v>
      </c>
      <c r="D26" s="80">
        <f>[1]расходы!M12</f>
        <v>1042331.4000000003</v>
      </c>
      <c r="E26" s="80">
        <f>[1]расходы!N12</f>
        <v>1208831.3999999999</v>
      </c>
      <c r="F26" s="80">
        <f>[1]расходы!O12</f>
        <v>1421331.4</v>
      </c>
      <c r="G26" s="80">
        <f>[1]расходы!P12</f>
        <v>1599431.4</v>
      </c>
      <c r="H26" s="80">
        <f>[1]расходы!Q12</f>
        <v>1849401.8800000031</v>
      </c>
      <c r="I26" s="80">
        <f>[1]расходы!R12</f>
        <v>2024501.88</v>
      </c>
      <c r="J26" s="80">
        <f>[1]расходы!S12</f>
        <v>2198601.8799999962</v>
      </c>
      <c r="K26" s="80">
        <f>[1]расходы!T12</f>
        <v>2372701.8800000004</v>
      </c>
      <c r="L26" s="80">
        <f>[1]расходы!U12</f>
        <v>2531401.879999999</v>
      </c>
      <c r="M26" s="80">
        <f>[1]расходы!V12</f>
        <v>2690101.8800000041</v>
      </c>
      <c r="N26" s="465">
        <f>SUM(B26:M26)</f>
        <v>20424000.280000001</v>
      </c>
      <c r="O26" s="465">
        <f>[1]расходы!W12*12</f>
        <v>37994422.559999935</v>
      </c>
      <c r="P26" s="465">
        <f>[1]расходы!X12*12</f>
        <v>47348422.560000002</v>
      </c>
      <c r="Q26" s="465">
        <f>[1]расходы!Y12*12</f>
        <v>48082241.280000001</v>
      </c>
    </row>
    <row r="27" spans="1:17" ht="28.5">
      <c r="A27" s="83" t="s">
        <v>250</v>
      </c>
      <c r="B27" s="69">
        <f t="shared" ref="B27:M27" si="25">B12*2%/12</f>
        <v>16666.666666666668</v>
      </c>
      <c r="C27" s="69">
        <f t="shared" si="25"/>
        <v>33333.333333333336</v>
      </c>
      <c r="D27" s="69">
        <f t="shared" si="25"/>
        <v>50000</v>
      </c>
      <c r="E27" s="69">
        <f t="shared" si="25"/>
        <v>66666.666666666672</v>
      </c>
      <c r="F27" s="69">
        <f t="shared" si="25"/>
        <v>83333.333333333328</v>
      </c>
      <c r="G27" s="69">
        <f t="shared" si="25"/>
        <v>100000</v>
      </c>
      <c r="H27" s="69">
        <f t="shared" si="25"/>
        <v>116666.66666666667</v>
      </c>
      <c r="I27" s="69">
        <f t="shared" si="25"/>
        <v>133333.33333333334</v>
      </c>
      <c r="J27" s="69">
        <f t="shared" si="25"/>
        <v>150000</v>
      </c>
      <c r="K27" s="69">
        <f t="shared" si="25"/>
        <v>166666.66666666666</v>
      </c>
      <c r="L27" s="69">
        <f t="shared" si="25"/>
        <v>183333.33333333334</v>
      </c>
      <c r="M27" s="69">
        <f t="shared" si="25"/>
        <v>200000</v>
      </c>
      <c r="N27" s="455">
        <f t="shared" ref="N27:N32" si="26">SUM(B27:M27)</f>
        <v>1300000</v>
      </c>
      <c r="O27" s="455">
        <f>O12*2%</f>
        <v>3600000</v>
      </c>
      <c r="P27" s="455">
        <f>P12*2%</f>
        <v>4800000</v>
      </c>
      <c r="Q27" s="455">
        <f>Q12*2%</f>
        <v>6000000</v>
      </c>
    </row>
    <row r="28" spans="1:17" ht="31.5">
      <c r="A28" s="83" t="s">
        <v>240</v>
      </c>
      <c r="B28" s="69">
        <f t="shared" ref="B28:M28" si="27">B14*4%/12</f>
        <v>6666.666666666667</v>
      </c>
      <c r="C28" s="69">
        <f t="shared" si="27"/>
        <v>13333.333333333334</v>
      </c>
      <c r="D28" s="69">
        <f t="shared" si="27"/>
        <v>20000</v>
      </c>
      <c r="E28" s="69">
        <f t="shared" si="27"/>
        <v>26666.666666666668</v>
      </c>
      <c r="F28" s="69">
        <f t="shared" si="27"/>
        <v>33333.333333333336</v>
      </c>
      <c r="G28" s="69">
        <f t="shared" si="27"/>
        <v>40000</v>
      </c>
      <c r="H28" s="69">
        <f t="shared" si="27"/>
        <v>46666.666666666664</v>
      </c>
      <c r="I28" s="69">
        <f t="shared" si="27"/>
        <v>53333.333333333336</v>
      </c>
      <c r="J28" s="69">
        <f t="shared" si="27"/>
        <v>60000</v>
      </c>
      <c r="K28" s="69">
        <f t="shared" si="27"/>
        <v>66666.666666666672</v>
      </c>
      <c r="L28" s="69">
        <f t="shared" si="27"/>
        <v>73333.333333333328</v>
      </c>
      <c r="M28" s="69">
        <f t="shared" si="27"/>
        <v>80000</v>
      </c>
      <c r="N28" s="455">
        <f t="shared" si="26"/>
        <v>520000</v>
      </c>
      <c r="O28" s="455">
        <f>O14*4%/12</f>
        <v>120000</v>
      </c>
      <c r="P28" s="455">
        <f>P14*4%/12</f>
        <v>160000</v>
      </c>
      <c r="Q28" s="455">
        <f>Q14*4%/12</f>
        <v>200000</v>
      </c>
    </row>
    <row r="29" spans="1:17">
      <c r="A29" s="83" t="s">
        <v>241</v>
      </c>
      <c r="B29" s="69">
        <f t="shared" ref="B29:M29" si="28">B15*6%/12</f>
        <v>50000</v>
      </c>
      <c r="C29" s="69">
        <f t="shared" si="28"/>
        <v>100000</v>
      </c>
      <c r="D29" s="69">
        <f t="shared" si="28"/>
        <v>150000</v>
      </c>
      <c r="E29" s="69">
        <f t="shared" si="28"/>
        <v>200000</v>
      </c>
      <c r="F29" s="69">
        <f t="shared" si="28"/>
        <v>250000</v>
      </c>
      <c r="G29" s="69">
        <f t="shared" si="28"/>
        <v>300000</v>
      </c>
      <c r="H29" s="69">
        <f t="shared" si="28"/>
        <v>350000</v>
      </c>
      <c r="I29" s="69">
        <f t="shared" si="28"/>
        <v>400000</v>
      </c>
      <c r="J29" s="69">
        <f t="shared" si="28"/>
        <v>450000</v>
      </c>
      <c r="K29" s="69">
        <f t="shared" si="28"/>
        <v>500000</v>
      </c>
      <c r="L29" s="69">
        <f t="shared" si="28"/>
        <v>550000</v>
      </c>
      <c r="M29" s="69">
        <f t="shared" si="28"/>
        <v>600000</v>
      </c>
      <c r="N29" s="455">
        <f t="shared" si="26"/>
        <v>3900000</v>
      </c>
      <c r="O29" s="455">
        <f>O15*6%</f>
        <v>10800000</v>
      </c>
      <c r="P29" s="455">
        <f>P15*6%</f>
        <v>14400000</v>
      </c>
      <c r="Q29" s="455">
        <f>Q15*6%</f>
        <v>18000000</v>
      </c>
    </row>
    <row r="30" spans="1:17" ht="31.5">
      <c r="A30" s="83" t="s">
        <v>242</v>
      </c>
      <c r="B30" s="69">
        <f>B5*1000</f>
        <v>2000000</v>
      </c>
      <c r="C30" s="69">
        <f>B30</f>
        <v>2000000</v>
      </c>
      <c r="D30" s="69">
        <f>C30</f>
        <v>2000000</v>
      </c>
      <c r="E30" s="69">
        <f>D30</f>
        <v>2000000</v>
      </c>
      <c r="F30" s="69">
        <f>E30</f>
        <v>2000000</v>
      </c>
      <c r="G30" s="69">
        <f t="shared" ref="G30:I30" si="29">F30</f>
        <v>2000000</v>
      </c>
      <c r="H30" s="69">
        <f t="shared" si="29"/>
        <v>2000000</v>
      </c>
      <c r="I30" s="69">
        <f t="shared" si="29"/>
        <v>2000000</v>
      </c>
      <c r="J30" s="69">
        <f>I30</f>
        <v>2000000</v>
      </c>
      <c r="K30" s="69">
        <f t="shared" ref="K30:L30" si="30">J30</f>
        <v>2000000</v>
      </c>
      <c r="L30" s="69">
        <f t="shared" si="30"/>
        <v>2000000</v>
      </c>
      <c r="M30" s="69">
        <f>L30</f>
        <v>2000000</v>
      </c>
      <c r="N30" s="455">
        <f t="shared" si="26"/>
        <v>24000000</v>
      </c>
      <c r="O30" s="455">
        <f>(O5-N5)*1000</f>
        <v>12000000</v>
      </c>
      <c r="P30" s="455">
        <f t="shared" ref="P30:Q30" si="31">(P5-O5)*1000</f>
        <v>12000000</v>
      </c>
      <c r="Q30" s="455">
        <f t="shared" si="31"/>
        <v>12000000</v>
      </c>
    </row>
    <row r="31" spans="1:17">
      <c r="A31" s="85" t="s">
        <v>85</v>
      </c>
      <c r="B31" s="86">
        <f>B17-B24</f>
        <v>-2197481.7999999998</v>
      </c>
      <c r="C31" s="86">
        <f t="shared" ref="C31:M31" si="32">C17-C24</f>
        <v>-1971631.5999999999</v>
      </c>
      <c r="D31" s="86">
        <f t="shared" si="32"/>
        <v>-1726081.4000000004</v>
      </c>
      <c r="E31" s="86">
        <f t="shared" si="32"/>
        <v>-1453831.4</v>
      </c>
      <c r="F31" s="86">
        <f t="shared" si="32"/>
        <v>-1227581.3999999994</v>
      </c>
      <c r="G31" s="86">
        <f t="shared" si="32"/>
        <v>-966931.39999999991</v>
      </c>
      <c r="H31" s="86">
        <f t="shared" si="32"/>
        <v>-778151.88000000361</v>
      </c>
      <c r="I31" s="86">
        <f t="shared" si="32"/>
        <v>-514501.87999999989</v>
      </c>
      <c r="J31" s="86">
        <f t="shared" si="32"/>
        <v>-249851.87999999616</v>
      </c>
      <c r="K31" s="86">
        <f t="shared" si="32"/>
        <v>14798.120000001043</v>
      </c>
      <c r="L31" s="86">
        <f t="shared" si="32"/>
        <v>294848.12000000104</v>
      </c>
      <c r="M31" s="86">
        <f t="shared" si="32"/>
        <v>574898.11999999546</v>
      </c>
      <c r="N31" s="467">
        <f t="shared" si="26"/>
        <v>-10201500.279999999</v>
      </c>
      <c r="O31" s="467">
        <f t="shared" ref="O31:P31" si="33">O17-O24</f>
        <v>42801577.440000065</v>
      </c>
      <c r="P31" s="467">
        <f t="shared" si="33"/>
        <v>59819577.439999998</v>
      </c>
      <c r="Q31" s="467">
        <f>Q17-Q24</f>
        <v>83177758.719999999</v>
      </c>
    </row>
    <row r="32" spans="1:17">
      <c r="A32" s="87" t="s">
        <v>86</v>
      </c>
      <c r="B32" s="71">
        <f>(B8+B9)*0.6%</f>
        <v>120000</v>
      </c>
      <c r="C32" s="71">
        <f t="shared" ref="C32:M32" si="34">(C8+C9)*0.6%</f>
        <v>240000</v>
      </c>
      <c r="D32" s="71">
        <f t="shared" si="34"/>
        <v>360000</v>
      </c>
      <c r="E32" s="71">
        <f t="shared" si="34"/>
        <v>480000</v>
      </c>
      <c r="F32" s="71">
        <f t="shared" si="34"/>
        <v>600000</v>
      </c>
      <c r="G32" s="71">
        <f t="shared" si="34"/>
        <v>720000</v>
      </c>
      <c r="H32" s="71">
        <f t="shared" si="34"/>
        <v>840000</v>
      </c>
      <c r="I32" s="71">
        <f t="shared" si="34"/>
        <v>960000</v>
      </c>
      <c r="J32" s="71">
        <f t="shared" si="34"/>
        <v>1080000</v>
      </c>
      <c r="K32" s="71">
        <f t="shared" si="34"/>
        <v>1200000</v>
      </c>
      <c r="L32" s="71">
        <f t="shared" si="34"/>
        <v>1320000</v>
      </c>
      <c r="M32" s="71">
        <f t="shared" si="34"/>
        <v>1440000</v>
      </c>
      <c r="N32" s="457">
        <f t="shared" si="26"/>
        <v>9360000</v>
      </c>
      <c r="O32" s="457">
        <f>(O8+O9)*0.6%</f>
        <v>21600000</v>
      </c>
      <c r="P32" s="457">
        <f>(P8+P9)*0.6%</f>
        <v>25920000</v>
      </c>
      <c r="Q32" s="457">
        <f>(Q8+Q9)*0.6%</f>
        <v>28800000</v>
      </c>
    </row>
    <row r="33" spans="1:1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00"/>
      <c r="O33" s="600"/>
      <c r="P33" s="600"/>
      <c r="Q33" s="601"/>
    </row>
    <row r="34" spans="1:1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00"/>
      <c r="O34" s="600"/>
      <c r="P34" s="600"/>
      <c r="Q34" s="601"/>
    </row>
    <row r="35" spans="1:1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02"/>
      <c r="O35" s="600"/>
      <c r="P35" s="600"/>
      <c r="Q35" s="600"/>
    </row>
    <row r="36" spans="1:1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01"/>
      <c r="O36" s="600"/>
      <c r="P36" s="600"/>
      <c r="Q36" s="600"/>
    </row>
    <row r="37" spans="1:1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03"/>
      <c r="O37" s="600"/>
      <c r="P37" s="600"/>
      <c r="Q37" s="600"/>
    </row>
    <row r="38" spans="1:1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01"/>
      <c r="O38" s="600"/>
      <c r="P38" s="600"/>
      <c r="Q38" s="600"/>
    </row>
    <row r="39" spans="1:1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00"/>
      <c r="O39" s="600"/>
      <c r="P39" s="600"/>
      <c r="Q39" s="600"/>
    </row>
    <row r="40" spans="1:1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00"/>
      <c r="O40" s="600"/>
      <c r="P40" s="600"/>
      <c r="Q40" s="600"/>
    </row>
    <row r="41" spans="1:1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00"/>
      <c r="O41" s="600"/>
      <c r="P41" s="600"/>
      <c r="Q41" s="600"/>
    </row>
    <row r="42" spans="1:1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00"/>
      <c r="O42" s="600"/>
      <c r="P42" s="600"/>
      <c r="Q42" s="600"/>
    </row>
    <row r="43" spans="1:1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00"/>
      <c r="O43" s="600"/>
      <c r="P43" s="600"/>
      <c r="Q43" s="600"/>
    </row>
    <row r="44" spans="1:1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00"/>
      <c r="O44" s="600"/>
      <c r="P44" s="600"/>
      <c r="Q44" s="600"/>
    </row>
    <row r="45" spans="1:1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00"/>
      <c r="O45" s="600"/>
      <c r="P45" s="600"/>
      <c r="Q45" s="600"/>
    </row>
    <row r="46" spans="1:1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00"/>
      <c r="O46" s="600"/>
      <c r="P46" s="600"/>
      <c r="Q46" s="600"/>
    </row>
    <row r="47" spans="1:1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00"/>
      <c r="O47" s="600"/>
      <c r="P47" s="600"/>
      <c r="Q47" s="600"/>
    </row>
    <row r="48" spans="1:1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00"/>
      <c r="O48" s="600"/>
      <c r="P48" s="600"/>
      <c r="Q48" s="600"/>
    </row>
    <row r="49" spans="1:1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00"/>
      <c r="O49" s="600"/>
      <c r="P49" s="600"/>
      <c r="Q49" s="600"/>
    </row>
    <row r="50" spans="1:1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00"/>
      <c r="O50" s="600"/>
      <c r="P50" s="600"/>
      <c r="Q50" s="600"/>
    </row>
    <row r="51" spans="1:1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00"/>
      <c r="O51" s="600"/>
      <c r="P51" s="600"/>
      <c r="Q51" s="600"/>
    </row>
    <row r="52" spans="1:1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00"/>
      <c r="O52" s="600"/>
      <c r="P52" s="600"/>
      <c r="Q52" s="600"/>
    </row>
    <row r="53" spans="1:1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00"/>
      <c r="O53" s="600"/>
      <c r="P53" s="600"/>
      <c r="Q53" s="600"/>
    </row>
    <row r="54" spans="1:1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00"/>
      <c r="O54" s="600"/>
      <c r="P54" s="600"/>
      <c r="Q54" s="600"/>
    </row>
    <row r="55" spans="1:1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00"/>
      <c r="O55" s="600"/>
      <c r="P55" s="600"/>
      <c r="Q55" s="600"/>
    </row>
    <row r="56" spans="1:1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00"/>
      <c r="O56" s="600"/>
      <c r="P56" s="600"/>
      <c r="Q56" s="600"/>
    </row>
    <row r="57" spans="1:1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00"/>
      <c r="O57" s="600"/>
      <c r="P57" s="600"/>
      <c r="Q57" s="600"/>
    </row>
    <row r="58" spans="1:1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00"/>
      <c r="O58" s="600"/>
      <c r="P58" s="600"/>
      <c r="Q58" s="600"/>
    </row>
    <row r="59" spans="1:1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00"/>
      <c r="O59" s="600"/>
      <c r="P59" s="600"/>
      <c r="Q59" s="600"/>
    </row>
    <row r="60" spans="1:1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00"/>
      <c r="O60" s="600"/>
      <c r="P60" s="600"/>
      <c r="Q60" s="600"/>
    </row>
    <row r="61" spans="1:1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00"/>
      <c r="O61" s="600"/>
      <c r="P61" s="600"/>
      <c r="Q61" s="600"/>
    </row>
    <row r="62" spans="1:1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00"/>
      <c r="O62" s="600"/>
      <c r="P62" s="600"/>
      <c r="Q62" s="600"/>
    </row>
    <row r="63" spans="1:1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00"/>
      <c r="O63" s="600"/>
      <c r="P63" s="600"/>
      <c r="Q63" s="600"/>
    </row>
    <row r="64" spans="1:1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00"/>
      <c r="O64" s="600"/>
      <c r="P64" s="600"/>
      <c r="Q64" s="600"/>
    </row>
    <row r="65" spans="1:1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00"/>
      <c r="O65" s="600"/>
      <c r="P65" s="600"/>
      <c r="Q65" s="600"/>
    </row>
    <row r="66" spans="1:1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00"/>
      <c r="O66" s="600"/>
      <c r="P66" s="600"/>
      <c r="Q66" s="600"/>
    </row>
    <row r="67" spans="1:1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00"/>
      <c r="O67" s="600"/>
      <c r="P67" s="600"/>
      <c r="Q67" s="600"/>
    </row>
    <row r="68" spans="1:1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00"/>
      <c r="O68" s="600"/>
      <c r="P68" s="600"/>
      <c r="Q68" s="600"/>
    </row>
    <row r="69" spans="1:1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00"/>
      <c r="O69" s="600"/>
      <c r="P69" s="600"/>
      <c r="Q69" s="600"/>
    </row>
    <row r="70" spans="1:1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00"/>
      <c r="O70" s="600"/>
      <c r="P70" s="600"/>
      <c r="Q70" s="600"/>
    </row>
    <row r="71" spans="1:1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00"/>
      <c r="O71" s="600"/>
      <c r="P71" s="600"/>
      <c r="Q71" s="600"/>
    </row>
    <row r="72" spans="1:1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00"/>
      <c r="O72" s="600"/>
      <c r="P72" s="600"/>
      <c r="Q72" s="600"/>
    </row>
    <row r="73" spans="1:1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00"/>
      <c r="O73" s="600"/>
      <c r="P73" s="600"/>
      <c r="Q73" s="600"/>
    </row>
    <row r="74" spans="1:1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00"/>
      <c r="O74" s="600"/>
      <c r="P74" s="600"/>
      <c r="Q74" s="600"/>
    </row>
    <row r="75" spans="1:1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00"/>
      <c r="O75" s="600"/>
      <c r="P75" s="600"/>
      <c r="Q75" s="600"/>
    </row>
    <row r="76" spans="1:1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00"/>
      <c r="O76" s="600"/>
      <c r="P76" s="600"/>
      <c r="Q76" s="600"/>
    </row>
    <row r="77" spans="1:1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00"/>
      <c r="O77" s="600"/>
      <c r="P77" s="600"/>
      <c r="Q77" s="600"/>
    </row>
    <row r="78" spans="1:1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00"/>
      <c r="O78" s="600"/>
      <c r="P78" s="600"/>
      <c r="Q78" s="600"/>
    </row>
    <row r="79" spans="1:1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00"/>
      <c r="O79" s="600"/>
      <c r="P79" s="600"/>
      <c r="Q79" s="600"/>
    </row>
    <row r="80" spans="1:1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00"/>
      <c r="O80" s="600"/>
      <c r="P80" s="600"/>
      <c r="Q80" s="600"/>
    </row>
    <row r="81" spans="1:1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00"/>
      <c r="O81" s="600"/>
      <c r="P81" s="600"/>
      <c r="Q81" s="600"/>
    </row>
    <row r="82" spans="1:1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00"/>
      <c r="O82" s="600"/>
      <c r="P82" s="600"/>
      <c r="Q82" s="600"/>
    </row>
    <row r="83" spans="1:1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00"/>
      <c r="O83" s="600"/>
      <c r="P83" s="600"/>
      <c r="Q83" s="600"/>
    </row>
    <row r="84" spans="1:1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00"/>
      <c r="O84" s="600"/>
      <c r="P84" s="600"/>
      <c r="Q84" s="600"/>
    </row>
    <row r="85" spans="1:1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00"/>
      <c r="O85" s="600"/>
      <c r="P85" s="600"/>
      <c r="Q85" s="600"/>
    </row>
    <row r="86" spans="1:1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00"/>
      <c r="O86" s="600"/>
      <c r="P86" s="600"/>
      <c r="Q86" s="600"/>
    </row>
    <row r="87" spans="1:1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00"/>
      <c r="O87" s="600"/>
      <c r="P87" s="600"/>
      <c r="Q87" s="600"/>
    </row>
    <row r="88" spans="1:1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00"/>
      <c r="O88" s="600"/>
      <c r="P88" s="600"/>
      <c r="Q88" s="600"/>
    </row>
    <row r="89" spans="1:1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00"/>
      <c r="O89" s="600"/>
      <c r="P89" s="600"/>
      <c r="Q89" s="600"/>
    </row>
    <row r="90" spans="1:1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00"/>
      <c r="O90" s="600"/>
      <c r="P90" s="600"/>
      <c r="Q90" s="600"/>
    </row>
    <row r="91" spans="1:1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00"/>
      <c r="O91" s="600"/>
      <c r="P91" s="600"/>
      <c r="Q91" s="600"/>
    </row>
    <row r="92" spans="1:1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00"/>
      <c r="O92" s="600"/>
      <c r="P92" s="600"/>
      <c r="Q92" s="600"/>
    </row>
    <row r="93" spans="1:1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00"/>
      <c r="O93" s="600"/>
      <c r="P93" s="600"/>
      <c r="Q93" s="600"/>
    </row>
    <row r="94" spans="1:1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00"/>
      <c r="O94" s="600"/>
      <c r="P94" s="600"/>
      <c r="Q94" s="600"/>
    </row>
    <row r="95" spans="1:1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00"/>
      <c r="O95" s="600"/>
      <c r="P95" s="600"/>
      <c r="Q95" s="600"/>
    </row>
    <row r="96" spans="1:1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00"/>
      <c r="O96" s="600"/>
      <c r="P96" s="600"/>
      <c r="Q96" s="600"/>
    </row>
    <row r="97" spans="1:1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00"/>
      <c r="O97" s="600"/>
      <c r="P97" s="600"/>
      <c r="Q97" s="600"/>
    </row>
    <row r="98" spans="1:1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00"/>
      <c r="O98" s="600"/>
      <c r="P98" s="600"/>
      <c r="Q98" s="600"/>
    </row>
    <row r="99" spans="1:1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00"/>
      <c r="O99" s="600"/>
      <c r="P99" s="600"/>
      <c r="Q99" s="600"/>
    </row>
    <row r="100" spans="1:1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00"/>
      <c r="O100" s="600"/>
      <c r="P100" s="600"/>
      <c r="Q100" s="600"/>
    </row>
    <row r="101" spans="1:1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00"/>
      <c r="O101" s="600"/>
      <c r="P101" s="600"/>
      <c r="Q101" s="600"/>
    </row>
    <row r="102" spans="1:1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00"/>
      <c r="O102" s="600"/>
      <c r="P102" s="600"/>
      <c r="Q102" s="600"/>
    </row>
    <row r="103" spans="1:1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00"/>
      <c r="O103" s="600"/>
      <c r="P103" s="600"/>
      <c r="Q103" s="600"/>
    </row>
    <row r="104" spans="1:1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00"/>
      <c r="O104" s="600"/>
      <c r="P104" s="600"/>
      <c r="Q104" s="600"/>
    </row>
    <row r="105" spans="1:1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00"/>
      <c r="O105" s="600"/>
      <c r="P105" s="600"/>
      <c r="Q105" s="600"/>
    </row>
    <row r="106" spans="1:1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00"/>
      <c r="O106" s="600"/>
      <c r="P106" s="600"/>
      <c r="Q106" s="600"/>
    </row>
    <row r="107" spans="1:1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00"/>
      <c r="O107" s="600"/>
      <c r="P107" s="600"/>
      <c r="Q107" s="600"/>
    </row>
    <row r="108" spans="1:1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00"/>
      <c r="O108" s="600"/>
      <c r="P108" s="600"/>
      <c r="Q108" s="600"/>
    </row>
    <row r="109" spans="1:1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00"/>
      <c r="O109" s="600"/>
      <c r="P109" s="600"/>
      <c r="Q109" s="600"/>
    </row>
    <row r="110" spans="1:1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00"/>
      <c r="O110" s="600"/>
      <c r="P110" s="600"/>
      <c r="Q110" s="600"/>
    </row>
    <row r="111" spans="1:1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00"/>
      <c r="O111" s="600"/>
      <c r="P111" s="600"/>
      <c r="Q111" s="600"/>
    </row>
    <row r="112" spans="1:1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00"/>
      <c r="O112" s="600"/>
      <c r="P112" s="600"/>
      <c r="Q112" s="600"/>
    </row>
    <row r="113" spans="1:1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00"/>
      <c r="O113" s="600"/>
      <c r="P113" s="600"/>
      <c r="Q113" s="600"/>
    </row>
    <row r="114" spans="1:1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00"/>
      <c r="O114" s="600"/>
      <c r="P114" s="600"/>
      <c r="Q114" s="600"/>
    </row>
    <row r="115" spans="1:1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00"/>
      <c r="O115" s="600"/>
      <c r="P115" s="600"/>
      <c r="Q115" s="600"/>
    </row>
    <row r="116" spans="1:1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00"/>
      <c r="O116" s="600"/>
      <c r="P116" s="600"/>
      <c r="Q116" s="600"/>
    </row>
    <row r="117" spans="1:1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00"/>
      <c r="O117" s="600"/>
      <c r="P117" s="600"/>
      <c r="Q117" s="600"/>
    </row>
    <row r="118" spans="1:1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00"/>
      <c r="O118" s="600"/>
      <c r="P118" s="600"/>
      <c r="Q118" s="600"/>
    </row>
    <row r="119" spans="1:1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00"/>
      <c r="O119" s="600"/>
      <c r="P119" s="600"/>
      <c r="Q119" s="600"/>
    </row>
    <row r="120" spans="1:1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00"/>
      <c r="O120" s="600"/>
      <c r="P120" s="600"/>
      <c r="Q120" s="600"/>
    </row>
    <row r="121" spans="1:1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00"/>
      <c r="O121" s="600"/>
      <c r="P121" s="600"/>
      <c r="Q121" s="600"/>
    </row>
    <row r="122" spans="1:1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00"/>
      <c r="O122" s="600"/>
      <c r="P122" s="600"/>
      <c r="Q122" s="600"/>
    </row>
    <row r="123" spans="1:1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00"/>
      <c r="O123" s="600"/>
      <c r="P123" s="600"/>
      <c r="Q123" s="600"/>
    </row>
    <row r="124" spans="1:1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00"/>
      <c r="O124" s="600"/>
      <c r="P124" s="600"/>
      <c r="Q124" s="600"/>
    </row>
    <row r="125" spans="1:1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00"/>
      <c r="O125" s="600"/>
      <c r="P125" s="600"/>
      <c r="Q125" s="600"/>
    </row>
    <row r="126" spans="1:1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00"/>
      <c r="O126" s="600"/>
      <c r="P126" s="600"/>
      <c r="Q126" s="600"/>
    </row>
    <row r="127" spans="1:1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00"/>
      <c r="O127" s="600"/>
      <c r="P127" s="600"/>
      <c r="Q127" s="600"/>
    </row>
    <row r="128" spans="1:1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00"/>
      <c r="O128" s="600"/>
      <c r="P128" s="600"/>
      <c r="Q128" s="600"/>
    </row>
    <row r="129" spans="1:1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00"/>
      <c r="O129" s="600"/>
      <c r="P129" s="600"/>
      <c r="Q129" s="600"/>
    </row>
    <row r="130" spans="1:1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00"/>
      <c r="O130" s="600"/>
      <c r="P130" s="600"/>
      <c r="Q130" s="600"/>
    </row>
    <row r="131" spans="1:1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00"/>
      <c r="O131" s="600"/>
      <c r="P131" s="600"/>
      <c r="Q131" s="600"/>
    </row>
    <row r="132" spans="1:1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00"/>
      <c r="O132" s="600"/>
      <c r="P132" s="600"/>
      <c r="Q132" s="600"/>
    </row>
    <row r="133" spans="1:1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00"/>
      <c r="O133" s="600"/>
      <c r="P133" s="600"/>
      <c r="Q133" s="600"/>
    </row>
    <row r="134" spans="1:1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00"/>
      <c r="O134" s="600"/>
      <c r="P134" s="600"/>
      <c r="Q134" s="600"/>
    </row>
    <row r="135" spans="1:1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00"/>
      <c r="O135" s="600"/>
      <c r="P135" s="600"/>
      <c r="Q135" s="600"/>
    </row>
    <row r="136" spans="1:1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00"/>
      <c r="O136" s="600"/>
      <c r="P136" s="600"/>
      <c r="Q136" s="600"/>
    </row>
    <row r="137" spans="1:1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00"/>
      <c r="O137" s="600"/>
      <c r="P137" s="600"/>
      <c r="Q137" s="600"/>
    </row>
    <row r="138" spans="1:1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00"/>
      <c r="O138" s="600"/>
      <c r="P138" s="600"/>
      <c r="Q138" s="600"/>
    </row>
    <row r="139" spans="1:1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00"/>
      <c r="O139" s="600"/>
      <c r="P139" s="600"/>
      <c r="Q139" s="600"/>
    </row>
    <row r="140" spans="1:1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00"/>
      <c r="O140" s="600"/>
      <c r="P140" s="600"/>
      <c r="Q140" s="600"/>
    </row>
    <row r="141" spans="1:1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00"/>
      <c r="O141" s="600"/>
      <c r="P141" s="600"/>
      <c r="Q141" s="600"/>
    </row>
    <row r="142" spans="1:1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00"/>
      <c r="O142" s="600"/>
      <c r="P142" s="600"/>
      <c r="Q142" s="600"/>
    </row>
    <row r="143" spans="1:1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00"/>
      <c r="O143" s="600"/>
      <c r="P143" s="600"/>
      <c r="Q143" s="600"/>
    </row>
    <row r="144" spans="1:1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00"/>
      <c r="O144" s="600"/>
      <c r="P144" s="600"/>
      <c r="Q144" s="600"/>
    </row>
    <row r="145" spans="1:1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00"/>
      <c r="O145" s="600"/>
      <c r="P145" s="600"/>
      <c r="Q145" s="600"/>
    </row>
    <row r="146" spans="1:1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00"/>
      <c r="O146" s="600"/>
      <c r="P146" s="600"/>
      <c r="Q146" s="600"/>
    </row>
    <row r="147" spans="1:1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00"/>
      <c r="O147" s="600"/>
      <c r="P147" s="600"/>
      <c r="Q147" s="600"/>
    </row>
    <row r="148" spans="1:1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00"/>
      <c r="O148" s="600"/>
      <c r="P148" s="600"/>
      <c r="Q148" s="600"/>
    </row>
    <row r="149" spans="1:1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00"/>
      <c r="O149" s="600"/>
      <c r="P149" s="600"/>
      <c r="Q149" s="600"/>
    </row>
    <row r="150" spans="1:1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00"/>
      <c r="O150" s="600"/>
      <c r="P150" s="600"/>
      <c r="Q150" s="600"/>
    </row>
    <row r="151" spans="1:1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00"/>
      <c r="O151" s="600"/>
      <c r="P151" s="600"/>
      <c r="Q151" s="600"/>
    </row>
    <row r="152" spans="1:1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00"/>
      <c r="O152" s="600"/>
      <c r="P152" s="600"/>
      <c r="Q152" s="600"/>
    </row>
    <row r="153" spans="1:1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00"/>
      <c r="O153" s="600"/>
      <c r="P153" s="600"/>
      <c r="Q153" s="600"/>
    </row>
    <row r="154" spans="1:1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00"/>
      <c r="O154" s="600"/>
      <c r="P154" s="600"/>
      <c r="Q154" s="600"/>
    </row>
    <row r="155" spans="1:1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00"/>
      <c r="O155" s="600"/>
      <c r="P155" s="600"/>
      <c r="Q155" s="600"/>
    </row>
    <row r="156" spans="1:1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00"/>
      <c r="O156" s="600"/>
      <c r="P156" s="600"/>
      <c r="Q156" s="600"/>
    </row>
    <row r="157" spans="1:1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00"/>
      <c r="O157" s="600"/>
      <c r="P157" s="600"/>
      <c r="Q157" s="600"/>
    </row>
    <row r="158" spans="1:1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00"/>
      <c r="O158" s="600"/>
      <c r="P158" s="600"/>
      <c r="Q158" s="600"/>
    </row>
    <row r="159" spans="1:1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00"/>
      <c r="O159" s="600"/>
      <c r="P159" s="600"/>
      <c r="Q159" s="600"/>
    </row>
    <row r="160" spans="1:1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00"/>
      <c r="O160" s="600"/>
      <c r="P160" s="600"/>
      <c r="Q160" s="600"/>
    </row>
    <row r="161" spans="1:1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00"/>
      <c r="O161" s="600"/>
      <c r="P161" s="600"/>
      <c r="Q161" s="600"/>
    </row>
    <row r="162" spans="1:1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00"/>
      <c r="O162" s="600"/>
      <c r="P162" s="600"/>
      <c r="Q162" s="600"/>
    </row>
    <row r="163" spans="1:1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00"/>
      <c r="O163" s="600"/>
      <c r="P163" s="600"/>
      <c r="Q163" s="600"/>
    </row>
    <row r="164" spans="1:1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00"/>
      <c r="O164" s="600"/>
      <c r="P164" s="600"/>
      <c r="Q164" s="600"/>
    </row>
    <row r="165" spans="1:1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00"/>
      <c r="O165" s="600"/>
      <c r="P165" s="600"/>
      <c r="Q165" s="600"/>
    </row>
    <row r="166" spans="1:1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00"/>
      <c r="O166" s="600"/>
      <c r="P166" s="600"/>
      <c r="Q166" s="600"/>
    </row>
    <row r="167" spans="1:1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00"/>
      <c r="O167" s="600"/>
      <c r="P167" s="600"/>
      <c r="Q167" s="600"/>
    </row>
    <row r="168" spans="1:1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00"/>
      <c r="O168" s="600"/>
      <c r="P168" s="600"/>
      <c r="Q168" s="600"/>
    </row>
    <row r="169" spans="1:1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00"/>
      <c r="O169" s="600"/>
      <c r="P169" s="600"/>
      <c r="Q169" s="600"/>
    </row>
    <row r="170" spans="1:1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00"/>
      <c r="O170" s="600"/>
      <c r="P170" s="600"/>
      <c r="Q170" s="600"/>
    </row>
    <row r="171" spans="1:1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00"/>
      <c r="O171" s="600"/>
      <c r="P171" s="600"/>
      <c r="Q171" s="600"/>
    </row>
    <row r="172" spans="1:1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00"/>
      <c r="O172" s="600"/>
      <c r="P172" s="600"/>
      <c r="Q172" s="600"/>
    </row>
    <row r="173" spans="1:1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00"/>
      <c r="O173" s="600"/>
      <c r="P173" s="600"/>
      <c r="Q173" s="600"/>
    </row>
    <row r="174" spans="1:1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00"/>
      <c r="O174" s="600"/>
      <c r="P174" s="600"/>
      <c r="Q174" s="600"/>
    </row>
    <row r="175" spans="1:1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00"/>
      <c r="O175" s="600"/>
      <c r="P175" s="600"/>
      <c r="Q175" s="600"/>
    </row>
    <row r="176" spans="1:1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00"/>
      <c r="O176" s="600"/>
      <c r="P176" s="600"/>
      <c r="Q176" s="600"/>
    </row>
    <row r="177" spans="1:1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00"/>
      <c r="O177" s="600"/>
      <c r="P177" s="600"/>
      <c r="Q177" s="600"/>
    </row>
    <row r="178" spans="1:1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00"/>
      <c r="O178" s="600"/>
      <c r="P178" s="600"/>
      <c r="Q178" s="600"/>
    </row>
    <row r="179" spans="1:1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00"/>
      <c r="O179" s="600"/>
      <c r="P179" s="600"/>
      <c r="Q179" s="600"/>
    </row>
    <row r="180" spans="1:1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00"/>
      <c r="O180" s="600"/>
      <c r="P180" s="600"/>
      <c r="Q180" s="600"/>
    </row>
    <row r="181" spans="1:1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00"/>
      <c r="O181" s="600"/>
      <c r="P181" s="600"/>
      <c r="Q181" s="600"/>
    </row>
    <row r="182" spans="1:1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00"/>
      <c r="O182" s="600"/>
      <c r="P182" s="600"/>
      <c r="Q182" s="600"/>
    </row>
    <row r="183" spans="1:1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00"/>
      <c r="O183" s="600"/>
      <c r="P183" s="600"/>
      <c r="Q183" s="600"/>
    </row>
    <row r="184" spans="1:1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00"/>
      <c r="O184" s="600"/>
      <c r="P184" s="600"/>
      <c r="Q184" s="600"/>
    </row>
    <row r="185" spans="1:1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00"/>
      <c r="O185" s="600"/>
      <c r="P185" s="600"/>
      <c r="Q185" s="600"/>
    </row>
    <row r="186" spans="1:1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00"/>
      <c r="O186" s="600"/>
      <c r="P186" s="600"/>
      <c r="Q186" s="600"/>
    </row>
    <row r="187" spans="1:1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00"/>
      <c r="O187" s="600"/>
      <c r="P187" s="600"/>
      <c r="Q187" s="600"/>
    </row>
    <row r="188" spans="1:1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00"/>
      <c r="O188" s="600"/>
      <c r="P188" s="600"/>
      <c r="Q188" s="600"/>
    </row>
    <row r="189" spans="1:1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00"/>
      <c r="O189" s="600"/>
      <c r="P189" s="600"/>
      <c r="Q189" s="600"/>
    </row>
    <row r="190" spans="1:1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00"/>
      <c r="O190" s="600"/>
      <c r="P190" s="600"/>
      <c r="Q190" s="600"/>
    </row>
    <row r="191" spans="1:1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00"/>
      <c r="O191" s="600"/>
      <c r="P191" s="600"/>
      <c r="Q191" s="600"/>
    </row>
    <row r="192" spans="1:1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00"/>
      <c r="O192" s="600"/>
      <c r="P192" s="600"/>
      <c r="Q192" s="600"/>
    </row>
    <row r="193" spans="1:1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00"/>
      <c r="O193" s="600"/>
      <c r="P193" s="600"/>
      <c r="Q193" s="600"/>
    </row>
    <row r="194" spans="1:1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00"/>
      <c r="O194" s="600"/>
      <c r="P194" s="600"/>
      <c r="Q194" s="600"/>
    </row>
    <row r="195" spans="1:1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00"/>
      <c r="O195" s="600"/>
      <c r="P195" s="600"/>
      <c r="Q195" s="600"/>
    </row>
    <row r="196" spans="1:1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00"/>
      <c r="O196" s="600"/>
      <c r="P196" s="600"/>
      <c r="Q196" s="600"/>
    </row>
    <row r="197" spans="1:1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00"/>
      <c r="O197" s="600"/>
      <c r="P197" s="600"/>
      <c r="Q197" s="600"/>
    </row>
    <row r="198" spans="1:1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00"/>
      <c r="O198" s="600"/>
      <c r="P198" s="600"/>
      <c r="Q198" s="600"/>
    </row>
    <row r="199" spans="1:1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00"/>
      <c r="O199" s="600"/>
      <c r="P199" s="600"/>
      <c r="Q199" s="600"/>
    </row>
    <row r="200" spans="1:1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00"/>
      <c r="O200" s="600"/>
      <c r="P200" s="600"/>
      <c r="Q200" s="600"/>
    </row>
    <row r="201" spans="1:1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00"/>
      <c r="O201" s="600"/>
      <c r="P201" s="600"/>
      <c r="Q201" s="600"/>
    </row>
    <row r="202" spans="1:1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00"/>
      <c r="O202" s="600"/>
      <c r="P202" s="600"/>
      <c r="Q202" s="600"/>
    </row>
    <row r="203" spans="1:1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00"/>
      <c r="O203" s="600"/>
      <c r="P203" s="600"/>
      <c r="Q203" s="600"/>
    </row>
    <row r="204" spans="1:1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00"/>
      <c r="O204" s="600"/>
      <c r="P204" s="600"/>
      <c r="Q204" s="600"/>
    </row>
    <row r="205" spans="1:1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00"/>
      <c r="O205" s="600"/>
      <c r="P205" s="600"/>
      <c r="Q205" s="600"/>
    </row>
    <row r="206" spans="1:1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00"/>
      <c r="O206" s="600"/>
      <c r="P206" s="600"/>
      <c r="Q206" s="600"/>
    </row>
    <row r="207" spans="1:1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00"/>
      <c r="O207" s="600"/>
      <c r="P207" s="600"/>
      <c r="Q207" s="600"/>
    </row>
    <row r="208" spans="1:1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00"/>
      <c r="O208" s="600"/>
      <c r="P208" s="600"/>
      <c r="Q208" s="600"/>
    </row>
    <row r="209" spans="1:1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00"/>
      <c r="O209" s="600"/>
      <c r="P209" s="600"/>
      <c r="Q209" s="600"/>
    </row>
    <row r="210" spans="1:1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00"/>
      <c r="O210" s="600"/>
      <c r="P210" s="600"/>
      <c r="Q210" s="600"/>
    </row>
    <row r="211" spans="1:1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00"/>
      <c r="O211" s="600"/>
      <c r="P211" s="600"/>
      <c r="Q211" s="600"/>
    </row>
    <row r="212" spans="1:1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00"/>
      <c r="O212" s="600"/>
      <c r="P212" s="600"/>
      <c r="Q212" s="600"/>
    </row>
    <row r="213" spans="1:1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00"/>
      <c r="O213" s="600"/>
      <c r="P213" s="600"/>
      <c r="Q213" s="600"/>
    </row>
    <row r="214" spans="1:1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00"/>
      <c r="O214" s="600"/>
      <c r="P214" s="600"/>
      <c r="Q214" s="600"/>
    </row>
    <row r="215" spans="1:1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00"/>
      <c r="O215" s="600"/>
      <c r="P215" s="600"/>
      <c r="Q215" s="600"/>
    </row>
    <row r="216" spans="1:1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00"/>
      <c r="O216" s="600"/>
      <c r="P216" s="600"/>
      <c r="Q216" s="600"/>
    </row>
    <row r="217" spans="1:1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00"/>
      <c r="O217" s="600"/>
      <c r="P217" s="600"/>
      <c r="Q217" s="600"/>
    </row>
    <row r="218" spans="1:1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00"/>
      <c r="O218" s="600"/>
      <c r="P218" s="600"/>
      <c r="Q218" s="600"/>
    </row>
    <row r="219" spans="1:1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00"/>
      <c r="O219" s="600"/>
      <c r="P219" s="600"/>
      <c r="Q219" s="600"/>
    </row>
    <row r="220" spans="1:1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00"/>
      <c r="O220" s="600"/>
      <c r="P220" s="600"/>
      <c r="Q220" s="600"/>
    </row>
    <row r="221" spans="1:1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00"/>
      <c r="O221" s="600"/>
      <c r="P221" s="600"/>
      <c r="Q221" s="600"/>
    </row>
    <row r="222" spans="1:1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00"/>
      <c r="O222" s="600"/>
      <c r="P222" s="600"/>
      <c r="Q222" s="600"/>
    </row>
    <row r="223" spans="1:1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00"/>
      <c r="O223" s="600"/>
      <c r="P223" s="600"/>
      <c r="Q223" s="600"/>
    </row>
    <row r="224" spans="1:1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00"/>
      <c r="O224" s="600"/>
      <c r="P224" s="600"/>
      <c r="Q224" s="600"/>
    </row>
    <row r="225" spans="1:1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00"/>
      <c r="O225" s="600"/>
      <c r="P225" s="600"/>
      <c r="Q225" s="600"/>
    </row>
    <row r="226" spans="1:1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00"/>
      <c r="O226" s="600"/>
      <c r="P226" s="600"/>
      <c r="Q226" s="600"/>
    </row>
    <row r="227" spans="1:1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00"/>
      <c r="O227" s="600"/>
      <c r="P227" s="600"/>
      <c r="Q227" s="600"/>
    </row>
    <row r="228" spans="1:1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00"/>
      <c r="O228" s="600"/>
      <c r="P228" s="600"/>
      <c r="Q228" s="600"/>
    </row>
    <row r="229" spans="1:1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00"/>
      <c r="O229" s="600"/>
      <c r="P229" s="600"/>
      <c r="Q229" s="600"/>
    </row>
    <row r="230" spans="1:1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00"/>
      <c r="O230" s="600"/>
      <c r="P230" s="600"/>
      <c r="Q230" s="600"/>
    </row>
    <row r="231" spans="1:1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00"/>
      <c r="O231" s="600"/>
      <c r="P231" s="600"/>
      <c r="Q231" s="600"/>
    </row>
    <row r="232" spans="1:1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00"/>
      <c r="O232" s="600"/>
      <c r="P232" s="600"/>
      <c r="Q232" s="600"/>
    </row>
    <row r="233" spans="1:1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00"/>
      <c r="O233" s="600"/>
      <c r="P233" s="600"/>
      <c r="Q233" s="600"/>
    </row>
    <row r="234" spans="1:1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00"/>
      <c r="O234" s="600"/>
      <c r="P234" s="600"/>
      <c r="Q234" s="600"/>
    </row>
    <row r="235" spans="1:1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00"/>
      <c r="O235" s="600"/>
      <c r="P235" s="600"/>
      <c r="Q235" s="600"/>
    </row>
    <row r="236" spans="1:1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00"/>
      <c r="O236" s="600"/>
      <c r="P236" s="600"/>
      <c r="Q236" s="600"/>
    </row>
    <row r="237" spans="1:1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00"/>
      <c r="O237" s="600"/>
      <c r="P237" s="600"/>
      <c r="Q237" s="600"/>
    </row>
    <row r="238" spans="1:1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00"/>
      <c r="O238" s="600"/>
      <c r="P238" s="600"/>
      <c r="Q238" s="600"/>
    </row>
    <row r="239" spans="1:1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00"/>
      <c r="O239" s="600"/>
      <c r="P239" s="600"/>
      <c r="Q239" s="600"/>
    </row>
    <row r="240" spans="1:1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00"/>
      <c r="O240" s="600"/>
      <c r="P240" s="600"/>
      <c r="Q240" s="600"/>
    </row>
    <row r="241" spans="1:1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00"/>
      <c r="O241" s="600"/>
      <c r="P241" s="600"/>
      <c r="Q241" s="600"/>
    </row>
    <row r="242" spans="1:1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00"/>
      <c r="O242" s="600"/>
      <c r="P242" s="600"/>
      <c r="Q242" s="600"/>
    </row>
    <row r="243" spans="1:1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00"/>
      <c r="O243" s="600"/>
      <c r="P243" s="600"/>
      <c r="Q243" s="600"/>
    </row>
    <row r="244" spans="1:1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00"/>
      <c r="O244" s="600"/>
      <c r="P244" s="600"/>
      <c r="Q244" s="600"/>
    </row>
    <row r="245" spans="1:1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00"/>
      <c r="O245" s="600"/>
      <c r="P245" s="600"/>
      <c r="Q245" s="600"/>
    </row>
    <row r="246" spans="1:1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00"/>
      <c r="O246" s="600"/>
      <c r="P246" s="600"/>
      <c r="Q246" s="600"/>
    </row>
    <row r="247" spans="1:1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00"/>
      <c r="O247" s="600"/>
      <c r="P247" s="600"/>
      <c r="Q247" s="600"/>
    </row>
    <row r="248" spans="1:1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00"/>
      <c r="O248" s="600"/>
      <c r="P248" s="600"/>
      <c r="Q248" s="600"/>
    </row>
    <row r="249" spans="1:1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00"/>
      <c r="O249" s="600"/>
      <c r="P249" s="600"/>
      <c r="Q249" s="600"/>
    </row>
    <row r="250" spans="1:1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00"/>
      <c r="O250" s="600"/>
      <c r="P250" s="600"/>
      <c r="Q250" s="600"/>
    </row>
    <row r="251" spans="1:1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00"/>
      <c r="O251" s="600"/>
      <c r="P251" s="600"/>
      <c r="Q251" s="600"/>
    </row>
    <row r="252" spans="1:1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00"/>
      <c r="O252" s="600"/>
      <c r="P252" s="600"/>
      <c r="Q252" s="600"/>
    </row>
    <row r="253" spans="1:1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00"/>
      <c r="O253" s="600"/>
      <c r="P253" s="600"/>
      <c r="Q253" s="600"/>
    </row>
    <row r="254" spans="1:1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00"/>
      <c r="O254" s="600"/>
      <c r="P254" s="600"/>
      <c r="Q254" s="600"/>
    </row>
    <row r="255" spans="1:1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00"/>
      <c r="O255" s="600"/>
      <c r="P255" s="600"/>
      <c r="Q255" s="600"/>
    </row>
    <row r="256" spans="1:1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00"/>
      <c r="O256" s="600"/>
      <c r="P256" s="600"/>
      <c r="Q256" s="600"/>
    </row>
    <row r="257" spans="1:1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00"/>
      <c r="O257" s="600"/>
      <c r="P257" s="600"/>
      <c r="Q257" s="600"/>
    </row>
    <row r="258" spans="1:1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00"/>
      <c r="O258" s="600"/>
      <c r="P258" s="600"/>
      <c r="Q258" s="600"/>
    </row>
    <row r="259" spans="1:1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00"/>
      <c r="O259" s="600"/>
      <c r="P259" s="600"/>
      <c r="Q259" s="600"/>
    </row>
    <row r="260" spans="1:1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00"/>
      <c r="O260" s="600"/>
      <c r="P260" s="600"/>
      <c r="Q260" s="600"/>
    </row>
    <row r="261" spans="1:1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00"/>
      <c r="O261" s="600"/>
      <c r="P261" s="600"/>
      <c r="Q261" s="600"/>
    </row>
    <row r="262" spans="1:1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00"/>
      <c r="O262" s="600"/>
      <c r="P262" s="600"/>
      <c r="Q262" s="600"/>
    </row>
    <row r="263" spans="1:1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00"/>
      <c r="O263" s="600"/>
      <c r="P263" s="600"/>
      <c r="Q263" s="600"/>
    </row>
    <row r="264" spans="1:1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00"/>
      <c r="O264" s="600"/>
      <c r="P264" s="600"/>
      <c r="Q264" s="600"/>
    </row>
    <row r="265" spans="1:1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00"/>
      <c r="O265" s="600"/>
      <c r="P265" s="600"/>
      <c r="Q265" s="600"/>
    </row>
    <row r="266" spans="1:1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00"/>
      <c r="O266" s="600"/>
      <c r="P266" s="600"/>
      <c r="Q266" s="600"/>
    </row>
    <row r="267" spans="1:1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00"/>
      <c r="O267" s="600"/>
      <c r="P267" s="600"/>
      <c r="Q267" s="600"/>
    </row>
    <row r="268" spans="1:1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00"/>
      <c r="O268" s="600"/>
      <c r="P268" s="600"/>
      <c r="Q268" s="600"/>
    </row>
    <row r="269" spans="1:1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00"/>
      <c r="O269" s="600"/>
      <c r="P269" s="600"/>
      <c r="Q269" s="600"/>
    </row>
    <row r="270" spans="1:1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00"/>
      <c r="O270" s="600"/>
      <c r="P270" s="600"/>
      <c r="Q270" s="600"/>
    </row>
    <row r="271" spans="1:1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00"/>
      <c r="O271" s="600"/>
      <c r="P271" s="600"/>
      <c r="Q271" s="600"/>
    </row>
    <row r="272" spans="1:1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00"/>
      <c r="O272" s="600"/>
      <c r="P272" s="600"/>
      <c r="Q272" s="600"/>
    </row>
    <row r="273" spans="1:1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00"/>
      <c r="O273" s="600"/>
      <c r="P273" s="600"/>
      <c r="Q273" s="600"/>
    </row>
    <row r="274" spans="1:1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00"/>
      <c r="O274" s="600"/>
      <c r="P274" s="600"/>
      <c r="Q274" s="600"/>
    </row>
    <row r="275" spans="1:1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00"/>
      <c r="O275" s="600"/>
      <c r="P275" s="600"/>
      <c r="Q275" s="600"/>
    </row>
    <row r="276" spans="1:1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00"/>
      <c r="O276" s="600"/>
      <c r="P276" s="600"/>
      <c r="Q276" s="600"/>
    </row>
    <row r="277" spans="1:1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00"/>
      <c r="O277" s="600"/>
      <c r="P277" s="600"/>
      <c r="Q277" s="600"/>
    </row>
    <row r="278" spans="1:1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00"/>
      <c r="O278" s="600"/>
      <c r="P278" s="600"/>
      <c r="Q278" s="600"/>
    </row>
    <row r="279" spans="1:1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00"/>
      <c r="O279" s="600"/>
      <c r="P279" s="600"/>
      <c r="Q279" s="600"/>
    </row>
    <row r="280" spans="1:1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00"/>
      <c r="O280" s="600"/>
      <c r="P280" s="600"/>
      <c r="Q280" s="600"/>
    </row>
    <row r="281" spans="1:1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00"/>
      <c r="O281" s="600"/>
      <c r="P281" s="600"/>
      <c r="Q281" s="600"/>
    </row>
    <row r="282" spans="1:1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00"/>
      <c r="O282" s="600"/>
      <c r="P282" s="600"/>
      <c r="Q282" s="600"/>
    </row>
    <row r="283" spans="1:1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00"/>
      <c r="O283" s="600"/>
      <c r="P283" s="600"/>
      <c r="Q283" s="600"/>
    </row>
    <row r="284" spans="1:1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00"/>
      <c r="O284" s="600"/>
      <c r="P284" s="600"/>
      <c r="Q284" s="600"/>
    </row>
    <row r="285" spans="1:1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00"/>
      <c r="O285" s="600"/>
      <c r="P285" s="600"/>
      <c r="Q285" s="600"/>
    </row>
    <row r="286" spans="1:1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00"/>
      <c r="O286" s="600"/>
      <c r="P286" s="600"/>
      <c r="Q286" s="600"/>
    </row>
    <row r="287" spans="1:1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00"/>
      <c r="O287" s="600"/>
      <c r="P287" s="600"/>
      <c r="Q287" s="600"/>
    </row>
    <row r="288" spans="1:1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00"/>
      <c r="O288" s="600"/>
      <c r="P288" s="600"/>
      <c r="Q288" s="600"/>
    </row>
    <row r="289" spans="1:1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00"/>
      <c r="O289" s="600"/>
      <c r="P289" s="600"/>
      <c r="Q289" s="600"/>
    </row>
    <row r="290" spans="1:1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00"/>
      <c r="O290" s="600"/>
      <c r="P290" s="600"/>
      <c r="Q290" s="600"/>
    </row>
    <row r="291" spans="1:1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00"/>
      <c r="O291" s="600"/>
      <c r="P291" s="600"/>
      <c r="Q291" s="600"/>
    </row>
    <row r="292" spans="1:1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00"/>
      <c r="O292" s="600"/>
      <c r="P292" s="600"/>
      <c r="Q292" s="600"/>
    </row>
    <row r="293" spans="1:1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00"/>
      <c r="O293" s="600"/>
      <c r="P293" s="600"/>
      <c r="Q293" s="600"/>
    </row>
    <row r="294" spans="1:1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00"/>
      <c r="O294" s="600"/>
      <c r="P294" s="600"/>
      <c r="Q294" s="600"/>
    </row>
    <row r="295" spans="1:1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00"/>
      <c r="O295" s="600"/>
      <c r="P295" s="600"/>
      <c r="Q295" s="600"/>
    </row>
    <row r="296" spans="1:1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00"/>
      <c r="O296" s="600"/>
      <c r="P296" s="600"/>
      <c r="Q296" s="600"/>
    </row>
    <row r="297" spans="1:1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00"/>
      <c r="O297" s="600"/>
      <c r="P297" s="600"/>
      <c r="Q297" s="600"/>
    </row>
    <row r="298" spans="1:1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00"/>
      <c r="O298" s="600"/>
      <c r="P298" s="600"/>
      <c r="Q298" s="600"/>
    </row>
    <row r="299" spans="1:1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00"/>
      <c r="O299" s="600"/>
      <c r="P299" s="600"/>
      <c r="Q299" s="600"/>
    </row>
    <row r="300" spans="1:1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00"/>
      <c r="O300" s="600"/>
      <c r="P300" s="600"/>
      <c r="Q300" s="600"/>
    </row>
    <row r="301" spans="1:1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00"/>
      <c r="O301" s="600"/>
      <c r="P301" s="600"/>
      <c r="Q301" s="600"/>
    </row>
    <row r="302" spans="1:1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00"/>
      <c r="O302" s="600"/>
      <c r="P302" s="600"/>
      <c r="Q302" s="600"/>
    </row>
    <row r="303" spans="1:1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00"/>
      <c r="O303" s="600"/>
      <c r="P303" s="600"/>
      <c r="Q303" s="600"/>
    </row>
    <row r="304" spans="1:1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00"/>
      <c r="O304" s="600"/>
      <c r="P304" s="600"/>
      <c r="Q304" s="600"/>
    </row>
    <row r="305" spans="1:1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00"/>
      <c r="O305" s="600"/>
      <c r="P305" s="600"/>
      <c r="Q305" s="600"/>
    </row>
    <row r="306" spans="1:1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00"/>
      <c r="O306" s="600"/>
      <c r="P306" s="600"/>
      <c r="Q306" s="600"/>
    </row>
    <row r="307" spans="1:1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00"/>
      <c r="O307" s="600"/>
      <c r="P307" s="600"/>
      <c r="Q307" s="600"/>
    </row>
    <row r="308" spans="1:1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00"/>
      <c r="O308" s="600"/>
      <c r="P308" s="600"/>
      <c r="Q308" s="600"/>
    </row>
    <row r="309" spans="1:1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00"/>
      <c r="O309" s="600"/>
      <c r="P309" s="600"/>
      <c r="Q309" s="600"/>
    </row>
    <row r="310" spans="1:1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00"/>
      <c r="O310" s="600"/>
      <c r="P310" s="600"/>
      <c r="Q310" s="600"/>
    </row>
    <row r="311" spans="1:1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00"/>
      <c r="O311" s="600"/>
      <c r="P311" s="600"/>
      <c r="Q311" s="600"/>
    </row>
    <row r="312" spans="1:1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00"/>
      <c r="O312" s="600"/>
      <c r="P312" s="600"/>
      <c r="Q312" s="600"/>
    </row>
    <row r="313" spans="1:1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00"/>
      <c r="O313" s="600"/>
      <c r="P313" s="600"/>
      <c r="Q313" s="600"/>
    </row>
    <row r="314" spans="1:1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00"/>
      <c r="O314" s="600"/>
      <c r="P314" s="600"/>
      <c r="Q314" s="600"/>
    </row>
    <row r="315" spans="1:1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00"/>
      <c r="O315" s="600"/>
      <c r="P315" s="600"/>
      <c r="Q315" s="600"/>
    </row>
    <row r="316" spans="1:1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00"/>
      <c r="O316" s="600"/>
      <c r="P316" s="600"/>
      <c r="Q316" s="600"/>
    </row>
    <row r="317" spans="1:1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00"/>
      <c r="O317" s="600"/>
      <c r="P317" s="600"/>
      <c r="Q317" s="600"/>
    </row>
    <row r="318" spans="1:1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00"/>
      <c r="O318" s="600"/>
      <c r="P318" s="600"/>
      <c r="Q318" s="600"/>
    </row>
    <row r="319" spans="1:1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00"/>
      <c r="O319" s="600"/>
      <c r="P319" s="600"/>
      <c r="Q319" s="600"/>
    </row>
    <row r="320" spans="1:1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00"/>
      <c r="O320" s="600"/>
      <c r="P320" s="600"/>
      <c r="Q320" s="600"/>
    </row>
    <row r="321" spans="1:1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00"/>
      <c r="O321" s="600"/>
      <c r="P321" s="600"/>
      <c r="Q321" s="600"/>
    </row>
    <row r="322" spans="1:1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00"/>
      <c r="O322" s="600"/>
      <c r="P322" s="600"/>
      <c r="Q322" s="600"/>
    </row>
    <row r="323" spans="1:1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00"/>
      <c r="O323" s="600"/>
      <c r="P323" s="600"/>
      <c r="Q323" s="600"/>
    </row>
    <row r="324" spans="1:1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00"/>
      <c r="O324" s="600"/>
      <c r="P324" s="600"/>
      <c r="Q324" s="600"/>
    </row>
    <row r="325" spans="1:1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00"/>
      <c r="O325" s="600"/>
      <c r="P325" s="600"/>
      <c r="Q325" s="600"/>
    </row>
    <row r="326" spans="1:1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00"/>
      <c r="O326" s="600"/>
      <c r="P326" s="600"/>
      <c r="Q326" s="600"/>
    </row>
    <row r="327" spans="1:1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00"/>
      <c r="O327" s="600"/>
      <c r="P327" s="600"/>
      <c r="Q327" s="600"/>
    </row>
    <row r="328" spans="1:1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00"/>
      <c r="O328" s="600"/>
      <c r="P328" s="600"/>
      <c r="Q328" s="600"/>
    </row>
    <row r="329" spans="1:1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00"/>
      <c r="O329" s="600"/>
      <c r="P329" s="600"/>
      <c r="Q329" s="600"/>
    </row>
    <row r="330" spans="1:1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00"/>
      <c r="O330" s="600"/>
      <c r="P330" s="600"/>
      <c r="Q330" s="600"/>
    </row>
    <row r="331" spans="1:1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00"/>
      <c r="O331" s="600"/>
      <c r="P331" s="600"/>
      <c r="Q331" s="600"/>
    </row>
    <row r="332" spans="1:1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00"/>
      <c r="O332" s="600"/>
      <c r="P332" s="600"/>
      <c r="Q332" s="600"/>
    </row>
    <row r="333" spans="1:1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00"/>
      <c r="O333" s="600"/>
      <c r="P333" s="600"/>
      <c r="Q333" s="600"/>
    </row>
    <row r="334" spans="1:1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00"/>
      <c r="O334" s="600"/>
      <c r="P334" s="600"/>
      <c r="Q334" s="600"/>
    </row>
    <row r="335" spans="1:1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00"/>
      <c r="O335" s="600"/>
      <c r="P335" s="600"/>
      <c r="Q335" s="600"/>
    </row>
    <row r="336" spans="1:1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00"/>
      <c r="O336" s="600"/>
      <c r="P336" s="600"/>
      <c r="Q336" s="600"/>
    </row>
    <row r="337" spans="1:1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00"/>
      <c r="O337" s="600"/>
      <c r="P337" s="600"/>
      <c r="Q337" s="600"/>
    </row>
    <row r="338" spans="1:1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00"/>
      <c r="O338" s="600"/>
      <c r="P338" s="600"/>
      <c r="Q338" s="600"/>
    </row>
    <row r="339" spans="1:1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00"/>
      <c r="O339" s="600"/>
      <c r="P339" s="600"/>
      <c r="Q339" s="600"/>
    </row>
    <row r="340" spans="1:1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00"/>
      <c r="O340" s="600"/>
      <c r="P340" s="600"/>
      <c r="Q340" s="600"/>
    </row>
    <row r="341" spans="1:1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00"/>
      <c r="O341" s="600"/>
      <c r="P341" s="600"/>
      <c r="Q341" s="600"/>
    </row>
    <row r="342" spans="1:1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00"/>
      <c r="O342" s="600"/>
      <c r="P342" s="600"/>
      <c r="Q342" s="600"/>
    </row>
    <row r="343" spans="1:1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00"/>
      <c r="O343" s="600"/>
      <c r="P343" s="600"/>
      <c r="Q343" s="600"/>
    </row>
    <row r="344" spans="1:1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00"/>
      <c r="O344" s="600"/>
      <c r="P344" s="600"/>
      <c r="Q344" s="600"/>
    </row>
    <row r="345" spans="1:1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00"/>
      <c r="O345" s="600"/>
      <c r="P345" s="600"/>
      <c r="Q345" s="600"/>
    </row>
    <row r="346" spans="1:1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00"/>
      <c r="O346" s="600"/>
      <c r="P346" s="600"/>
      <c r="Q346" s="600"/>
    </row>
    <row r="347" spans="1:1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00"/>
      <c r="O347" s="600"/>
      <c r="P347" s="600"/>
      <c r="Q347" s="600"/>
    </row>
    <row r="348" spans="1:1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00"/>
      <c r="O348" s="600"/>
      <c r="P348" s="600"/>
      <c r="Q348" s="600"/>
    </row>
    <row r="349" spans="1:1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00"/>
      <c r="O349" s="600"/>
      <c r="P349" s="600"/>
      <c r="Q349" s="600"/>
    </row>
    <row r="350" spans="1:1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00"/>
      <c r="O350" s="600"/>
      <c r="P350" s="600"/>
      <c r="Q350" s="600"/>
    </row>
    <row r="351" spans="1:1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00"/>
      <c r="O351" s="600"/>
      <c r="P351" s="600"/>
      <c r="Q351" s="600"/>
    </row>
    <row r="352" spans="1:1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00"/>
      <c r="O352" s="600"/>
      <c r="P352" s="600"/>
      <c r="Q352" s="600"/>
    </row>
    <row r="353" spans="1:1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00"/>
      <c r="O353" s="600"/>
      <c r="P353" s="600"/>
      <c r="Q353" s="600"/>
    </row>
    <row r="354" spans="1:1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00"/>
      <c r="O354" s="600"/>
      <c r="P354" s="600"/>
      <c r="Q354" s="600"/>
    </row>
    <row r="355" spans="1:1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00"/>
      <c r="O355" s="600"/>
      <c r="P355" s="600"/>
      <c r="Q355" s="600"/>
    </row>
    <row r="356" spans="1:1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00"/>
      <c r="O356" s="600"/>
      <c r="P356" s="600"/>
      <c r="Q356" s="600"/>
    </row>
    <row r="357" spans="1:1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00"/>
      <c r="O357" s="600"/>
      <c r="P357" s="600"/>
      <c r="Q357" s="600"/>
    </row>
    <row r="358" spans="1:1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00"/>
      <c r="O358" s="600"/>
      <c r="P358" s="600"/>
      <c r="Q358" s="600"/>
    </row>
    <row r="359" spans="1:1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00"/>
      <c r="O359" s="600"/>
      <c r="P359" s="600"/>
      <c r="Q359" s="600"/>
    </row>
    <row r="360" spans="1:1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00"/>
      <c r="O360" s="600"/>
      <c r="P360" s="600"/>
      <c r="Q360" s="600"/>
    </row>
    <row r="361" spans="1:1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00"/>
      <c r="O361" s="600"/>
      <c r="P361" s="600"/>
      <c r="Q361" s="600"/>
    </row>
    <row r="362" spans="1:1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00"/>
      <c r="O362" s="600"/>
      <c r="P362" s="600"/>
      <c r="Q362" s="600"/>
    </row>
    <row r="363" spans="1:1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00"/>
      <c r="O363" s="600"/>
      <c r="P363" s="600"/>
      <c r="Q363" s="600"/>
    </row>
    <row r="364" spans="1:1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00"/>
      <c r="O364" s="600"/>
      <c r="P364" s="600"/>
      <c r="Q364" s="600"/>
    </row>
    <row r="365" spans="1:1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00"/>
      <c r="O365" s="600"/>
      <c r="P365" s="600"/>
      <c r="Q365" s="600"/>
    </row>
    <row r="366" spans="1:1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00"/>
      <c r="O366" s="600"/>
      <c r="P366" s="600"/>
      <c r="Q366" s="600"/>
    </row>
    <row r="367" spans="1:1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00"/>
      <c r="O367" s="600"/>
      <c r="P367" s="600"/>
      <c r="Q367" s="600"/>
    </row>
    <row r="368" spans="1:1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00"/>
      <c r="O368" s="600"/>
      <c r="P368" s="600"/>
      <c r="Q368" s="600"/>
    </row>
    <row r="369" spans="1:1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00"/>
      <c r="O369" s="600"/>
      <c r="P369" s="600"/>
      <c r="Q369" s="600"/>
    </row>
    <row r="370" spans="1:1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00"/>
      <c r="O370" s="600"/>
      <c r="P370" s="600"/>
      <c r="Q370" s="600"/>
    </row>
    <row r="371" spans="1:1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00"/>
      <c r="O371" s="600"/>
      <c r="P371" s="600"/>
      <c r="Q371" s="600"/>
    </row>
    <row r="372" spans="1:1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00"/>
      <c r="O372" s="600"/>
      <c r="P372" s="600"/>
      <c r="Q372" s="600"/>
    </row>
    <row r="373" spans="1:1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00"/>
      <c r="O373" s="600"/>
      <c r="P373" s="600"/>
      <c r="Q373" s="600"/>
    </row>
    <row r="374" spans="1:1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00"/>
      <c r="O374" s="600"/>
      <c r="P374" s="600"/>
      <c r="Q374" s="600"/>
    </row>
    <row r="375" spans="1:1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00"/>
      <c r="O375" s="600"/>
      <c r="P375" s="600"/>
      <c r="Q375" s="600"/>
    </row>
    <row r="376" spans="1:1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00"/>
      <c r="O376" s="600"/>
      <c r="P376" s="600"/>
      <c r="Q376" s="600"/>
    </row>
    <row r="377" spans="1:1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00"/>
      <c r="O377" s="600"/>
      <c r="P377" s="600"/>
      <c r="Q377" s="600"/>
    </row>
    <row r="378" spans="1:1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00"/>
      <c r="O378" s="600"/>
      <c r="P378" s="600"/>
      <c r="Q378" s="600"/>
    </row>
    <row r="379" spans="1:1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00"/>
      <c r="O379" s="600"/>
      <c r="P379" s="600"/>
      <c r="Q379" s="600"/>
    </row>
    <row r="380" spans="1:1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00"/>
      <c r="O380" s="600"/>
      <c r="P380" s="600"/>
      <c r="Q380" s="600"/>
    </row>
    <row r="381" spans="1:1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00"/>
      <c r="O381" s="600"/>
      <c r="P381" s="600"/>
      <c r="Q381" s="600"/>
    </row>
    <row r="382" spans="1:1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00"/>
      <c r="O382" s="600"/>
      <c r="P382" s="600"/>
      <c r="Q382" s="600"/>
    </row>
    <row r="383" spans="1:1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00"/>
      <c r="O383" s="600"/>
      <c r="P383" s="600"/>
      <c r="Q383" s="600"/>
    </row>
    <row r="384" spans="1:1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00"/>
      <c r="O384" s="600"/>
      <c r="P384" s="600"/>
      <c r="Q384" s="600"/>
    </row>
    <row r="385" spans="1:1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00"/>
      <c r="O385" s="600"/>
      <c r="P385" s="600"/>
      <c r="Q385" s="600"/>
    </row>
    <row r="386" spans="1:1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00"/>
      <c r="O386" s="600"/>
      <c r="P386" s="600"/>
      <c r="Q386" s="600"/>
    </row>
    <row r="387" spans="1:1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00"/>
      <c r="O387" s="600"/>
      <c r="P387" s="600"/>
      <c r="Q387" s="600"/>
    </row>
    <row r="388" spans="1:1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00"/>
      <c r="O388" s="600"/>
      <c r="P388" s="600"/>
      <c r="Q388" s="600"/>
    </row>
    <row r="389" spans="1:1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00"/>
      <c r="O389" s="600"/>
      <c r="P389" s="600"/>
      <c r="Q389" s="600"/>
    </row>
    <row r="390" spans="1:1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00"/>
      <c r="O390" s="600"/>
      <c r="P390" s="600"/>
      <c r="Q390" s="600"/>
    </row>
    <row r="391" spans="1:1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00"/>
      <c r="O391" s="600"/>
      <c r="P391" s="600"/>
      <c r="Q391" s="600"/>
    </row>
    <row r="392" spans="1:1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00"/>
      <c r="O392" s="600"/>
      <c r="P392" s="600"/>
      <c r="Q392" s="600"/>
    </row>
    <row r="393" spans="1:1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00"/>
      <c r="O393" s="600"/>
      <c r="P393" s="600"/>
      <c r="Q393" s="600"/>
    </row>
    <row r="394" spans="1:1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00"/>
      <c r="O394" s="600"/>
      <c r="P394" s="600"/>
      <c r="Q394" s="600"/>
    </row>
    <row r="395" spans="1:1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00"/>
      <c r="O395" s="600"/>
      <c r="P395" s="600"/>
      <c r="Q395" s="600"/>
    </row>
    <row r="396" spans="1:1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00"/>
      <c r="O396" s="600"/>
      <c r="P396" s="600"/>
      <c r="Q396" s="600"/>
    </row>
    <row r="397" spans="1:1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00"/>
      <c r="O397" s="600"/>
      <c r="P397" s="600"/>
      <c r="Q397" s="600"/>
    </row>
    <row r="398" spans="1:1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00"/>
      <c r="O398" s="600"/>
      <c r="P398" s="600"/>
      <c r="Q398" s="600"/>
    </row>
    <row r="399" spans="1:1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00"/>
      <c r="O399" s="600"/>
      <c r="P399" s="600"/>
      <c r="Q399" s="600"/>
    </row>
    <row r="400" spans="1:1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00"/>
      <c r="O400" s="600"/>
      <c r="P400" s="600"/>
      <c r="Q400" s="600"/>
    </row>
    <row r="401" spans="1:1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00"/>
      <c r="O401" s="600"/>
      <c r="P401" s="600"/>
      <c r="Q401" s="600"/>
    </row>
    <row r="402" spans="1:1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00"/>
      <c r="O402" s="600"/>
      <c r="P402" s="600"/>
      <c r="Q402" s="600"/>
    </row>
    <row r="403" spans="1:1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00"/>
      <c r="O403" s="600"/>
      <c r="P403" s="600"/>
      <c r="Q403" s="600"/>
    </row>
    <row r="404" spans="1:1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00"/>
      <c r="O404" s="600"/>
      <c r="P404" s="600"/>
      <c r="Q404" s="600"/>
    </row>
    <row r="405" spans="1:1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00"/>
      <c r="O405" s="600"/>
      <c r="P405" s="600"/>
      <c r="Q405" s="600"/>
    </row>
    <row r="406" spans="1:1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00"/>
      <c r="O406" s="600"/>
      <c r="P406" s="600"/>
      <c r="Q406" s="600"/>
    </row>
    <row r="407" spans="1:1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00"/>
      <c r="O407" s="600"/>
      <c r="P407" s="600"/>
      <c r="Q407" s="600"/>
    </row>
    <row r="408" spans="1:1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00"/>
      <c r="O408" s="600"/>
      <c r="P408" s="600"/>
      <c r="Q408" s="600"/>
    </row>
    <row r="409" spans="1:1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00"/>
      <c r="O409" s="600"/>
      <c r="P409" s="600"/>
      <c r="Q409" s="600"/>
    </row>
    <row r="410" spans="1:1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00"/>
      <c r="O410" s="600"/>
      <c r="P410" s="600"/>
      <c r="Q410" s="600"/>
    </row>
    <row r="411" spans="1:1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00"/>
      <c r="O411" s="600"/>
      <c r="P411" s="600"/>
      <c r="Q411" s="600"/>
    </row>
    <row r="412" spans="1:1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00"/>
      <c r="O412" s="600"/>
      <c r="P412" s="600"/>
      <c r="Q412" s="600"/>
    </row>
    <row r="413" spans="1:1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00"/>
      <c r="O413" s="600"/>
      <c r="P413" s="600"/>
      <c r="Q413" s="600"/>
    </row>
    <row r="414" spans="1:1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00"/>
      <c r="O414" s="600"/>
      <c r="P414" s="600"/>
      <c r="Q414" s="600"/>
    </row>
    <row r="415" spans="1:1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00"/>
      <c r="O415" s="600"/>
      <c r="P415" s="600"/>
      <c r="Q415" s="600"/>
    </row>
    <row r="416" spans="1:1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00"/>
      <c r="O416" s="600"/>
      <c r="P416" s="600"/>
      <c r="Q416" s="600"/>
    </row>
    <row r="417" spans="1:1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00"/>
      <c r="O417" s="600"/>
      <c r="P417" s="600"/>
      <c r="Q417" s="600"/>
    </row>
    <row r="418" spans="1:1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00"/>
      <c r="O418" s="600"/>
      <c r="P418" s="600"/>
      <c r="Q418" s="600"/>
    </row>
    <row r="419" spans="1:1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00"/>
      <c r="O419" s="600"/>
      <c r="P419" s="600"/>
      <c r="Q419" s="600"/>
    </row>
    <row r="420" spans="1:1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00"/>
      <c r="O420" s="600"/>
      <c r="P420" s="600"/>
      <c r="Q420" s="600"/>
    </row>
    <row r="421" spans="1:1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00"/>
      <c r="O421" s="600"/>
      <c r="P421" s="600"/>
      <c r="Q421" s="600"/>
    </row>
    <row r="422" spans="1:1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00"/>
      <c r="O422" s="600"/>
      <c r="P422" s="600"/>
      <c r="Q422" s="600"/>
    </row>
    <row r="423" spans="1:1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00"/>
      <c r="O423" s="600"/>
      <c r="P423" s="600"/>
      <c r="Q423" s="600"/>
    </row>
    <row r="424" spans="1:1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00"/>
      <c r="O424" s="600"/>
      <c r="P424" s="600"/>
      <c r="Q424" s="600"/>
    </row>
    <row r="425" spans="1:1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00"/>
      <c r="O425" s="600"/>
      <c r="P425" s="600"/>
      <c r="Q425" s="600"/>
    </row>
    <row r="426" spans="1:1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00"/>
      <c r="O426" s="600"/>
      <c r="P426" s="600"/>
      <c r="Q426" s="600"/>
    </row>
    <row r="427" spans="1:1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00"/>
      <c r="O427" s="600"/>
      <c r="P427" s="600"/>
      <c r="Q427" s="600"/>
    </row>
    <row r="428" spans="1:1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00"/>
      <c r="O428" s="600"/>
      <c r="P428" s="600"/>
      <c r="Q428" s="600"/>
    </row>
    <row r="429" spans="1:1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00"/>
      <c r="O429" s="600"/>
      <c r="P429" s="600"/>
      <c r="Q429" s="600"/>
    </row>
    <row r="430" spans="1:1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00"/>
      <c r="O430" s="600"/>
      <c r="P430" s="600"/>
      <c r="Q430" s="600"/>
    </row>
    <row r="431" spans="1:1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00"/>
      <c r="O431" s="600"/>
      <c r="P431" s="600"/>
      <c r="Q431" s="600"/>
    </row>
    <row r="432" spans="1:1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00"/>
      <c r="O432" s="600"/>
      <c r="P432" s="600"/>
      <c r="Q432" s="600"/>
    </row>
    <row r="433" spans="1:1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00"/>
      <c r="O433" s="600"/>
      <c r="P433" s="600"/>
      <c r="Q433" s="600"/>
    </row>
    <row r="434" spans="1:1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00"/>
      <c r="O434" s="600"/>
      <c r="P434" s="600"/>
      <c r="Q434" s="600"/>
    </row>
    <row r="435" spans="1:1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00"/>
      <c r="O435" s="600"/>
      <c r="P435" s="600"/>
      <c r="Q435" s="600"/>
    </row>
    <row r="436" spans="1:1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00"/>
      <c r="O436" s="600"/>
      <c r="P436" s="600"/>
      <c r="Q436" s="600"/>
    </row>
    <row r="437" spans="1:1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00"/>
      <c r="O437" s="600"/>
      <c r="P437" s="600"/>
      <c r="Q437" s="600"/>
    </row>
    <row r="438" spans="1:1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00"/>
      <c r="O438" s="600"/>
      <c r="P438" s="600"/>
      <c r="Q438" s="600"/>
    </row>
    <row r="439" spans="1:1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00"/>
      <c r="O439" s="600"/>
      <c r="P439" s="600"/>
      <c r="Q439" s="600"/>
    </row>
    <row r="440" spans="1:1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00"/>
      <c r="O440" s="600"/>
      <c r="P440" s="600"/>
      <c r="Q440" s="600"/>
    </row>
    <row r="441" spans="1:1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00"/>
      <c r="O441" s="600"/>
      <c r="P441" s="600"/>
      <c r="Q441" s="600"/>
    </row>
    <row r="442" spans="1:1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00"/>
      <c r="O442" s="600"/>
      <c r="P442" s="600"/>
      <c r="Q442" s="600"/>
    </row>
    <row r="443" spans="1:1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00"/>
      <c r="O443" s="600"/>
      <c r="P443" s="600"/>
      <c r="Q443" s="600"/>
    </row>
    <row r="444" spans="1:1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00"/>
      <c r="O444" s="600"/>
      <c r="P444" s="600"/>
      <c r="Q444" s="600"/>
    </row>
    <row r="445" spans="1:1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00"/>
      <c r="O445" s="600"/>
      <c r="P445" s="600"/>
      <c r="Q445" s="600"/>
    </row>
    <row r="446" spans="1:1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00"/>
      <c r="O446" s="600"/>
      <c r="P446" s="600"/>
      <c r="Q446" s="600"/>
    </row>
    <row r="447" spans="1:1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00"/>
      <c r="O447" s="600"/>
      <c r="P447" s="600"/>
      <c r="Q447" s="600"/>
    </row>
    <row r="448" spans="1:1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00"/>
      <c r="O448" s="600"/>
      <c r="P448" s="600"/>
      <c r="Q448" s="600"/>
    </row>
    <row r="449" spans="1:1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00"/>
      <c r="O449" s="600"/>
      <c r="P449" s="600"/>
      <c r="Q449" s="600"/>
    </row>
    <row r="450" spans="1:1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00"/>
      <c r="O450" s="600"/>
      <c r="P450" s="600"/>
      <c r="Q450" s="600"/>
    </row>
    <row r="451" spans="1:1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00"/>
      <c r="O451" s="600"/>
      <c r="P451" s="600"/>
      <c r="Q451" s="600"/>
    </row>
    <row r="452" spans="1:1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00"/>
      <c r="O452" s="600"/>
      <c r="P452" s="600"/>
      <c r="Q452" s="600"/>
    </row>
    <row r="453" spans="1:1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00"/>
      <c r="O453" s="600"/>
      <c r="P453" s="600"/>
      <c r="Q453" s="600"/>
    </row>
    <row r="454" spans="1:1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00"/>
      <c r="O454" s="600"/>
      <c r="P454" s="600"/>
      <c r="Q454" s="600"/>
    </row>
    <row r="455" spans="1:1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00"/>
      <c r="O455" s="600"/>
      <c r="P455" s="600"/>
      <c r="Q455" s="600"/>
    </row>
    <row r="456" spans="1:1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00"/>
      <c r="O456" s="600"/>
      <c r="P456" s="600"/>
      <c r="Q456" s="600"/>
    </row>
    <row r="457" spans="1:1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00"/>
      <c r="O457" s="600"/>
      <c r="P457" s="600"/>
      <c r="Q457" s="600"/>
    </row>
    <row r="458" spans="1:1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00"/>
      <c r="O458" s="600"/>
      <c r="P458" s="600"/>
      <c r="Q458" s="600"/>
    </row>
    <row r="459" spans="1:1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00"/>
      <c r="O459" s="600"/>
      <c r="P459" s="600"/>
      <c r="Q459" s="600"/>
    </row>
    <row r="460" spans="1:1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00"/>
      <c r="O460" s="600"/>
      <c r="P460" s="600"/>
      <c r="Q460" s="600"/>
    </row>
    <row r="461" spans="1:1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00"/>
      <c r="O461" s="600"/>
      <c r="P461" s="600"/>
      <c r="Q461" s="600"/>
    </row>
    <row r="462" spans="1:1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00"/>
      <c r="O462" s="600"/>
      <c r="P462" s="600"/>
      <c r="Q462" s="600"/>
    </row>
    <row r="463" spans="1:1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00"/>
      <c r="O463" s="600"/>
      <c r="P463" s="600"/>
      <c r="Q463" s="600"/>
    </row>
    <row r="464" spans="1:1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00"/>
      <c r="O464" s="600"/>
      <c r="P464" s="600"/>
      <c r="Q464" s="600"/>
    </row>
    <row r="465" spans="1:1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00"/>
      <c r="O465" s="600"/>
      <c r="P465" s="600"/>
      <c r="Q465" s="600"/>
    </row>
    <row r="466" spans="1:1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00"/>
      <c r="O466" s="600"/>
      <c r="P466" s="600"/>
      <c r="Q466" s="600"/>
    </row>
    <row r="467" spans="1:1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00"/>
      <c r="O467" s="600"/>
      <c r="P467" s="600"/>
      <c r="Q467" s="600"/>
    </row>
    <row r="468" spans="1:1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00"/>
      <c r="O468" s="600"/>
      <c r="P468" s="600"/>
      <c r="Q468" s="600"/>
    </row>
    <row r="469" spans="1:1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00"/>
      <c r="O469" s="600"/>
      <c r="P469" s="600"/>
      <c r="Q469" s="600"/>
    </row>
    <row r="470" spans="1:1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00"/>
      <c r="O470" s="600"/>
      <c r="P470" s="600"/>
      <c r="Q470" s="600"/>
    </row>
    <row r="471" spans="1:1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00"/>
      <c r="O471" s="600"/>
      <c r="P471" s="600"/>
      <c r="Q471" s="600"/>
    </row>
    <row r="472" spans="1:1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00"/>
      <c r="O472" s="600"/>
      <c r="P472" s="600"/>
      <c r="Q472" s="600"/>
    </row>
    <row r="473" spans="1:1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00"/>
      <c r="O473" s="600"/>
      <c r="P473" s="600"/>
      <c r="Q473" s="600"/>
    </row>
    <row r="474" spans="1:1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00"/>
      <c r="O474" s="600"/>
      <c r="P474" s="600"/>
      <c r="Q474" s="600"/>
    </row>
    <row r="475" spans="1:1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00"/>
      <c r="O475" s="600"/>
      <c r="P475" s="600"/>
      <c r="Q475" s="600"/>
    </row>
    <row r="476" spans="1:1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00"/>
      <c r="O476" s="600"/>
      <c r="P476" s="600"/>
      <c r="Q476" s="600"/>
    </row>
    <row r="477" spans="1:1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00"/>
      <c r="O477" s="600"/>
      <c r="P477" s="600"/>
      <c r="Q477" s="600"/>
    </row>
    <row r="478" spans="1:1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00"/>
      <c r="O478" s="600"/>
      <c r="P478" s="600"/>
      <c r="Q478" s="600"/>
    </row>
    <row r="479" spans="1:1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00"/>
      <c r="O479" s="600"/>
      <c r="P479" s="600"/>
      <c r="Q479" s="600"/>
    </row>
    <row r="480" spans="1:1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00"/>
      <c r="O480" s="600"/>
      <c r="P480" s="600"/>
      <c r="Q480" s="600"/>
    </row>
    <row r="481" spans="1:1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00"/>
      <c r="O481" s="600"/>
      <c r="P481" s="600"/>
      <c r="Q481" s="600"/>
    </row>
    <row r="482" spans="1:1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00"/>
      <c r="O482" s="600"/>
      <c r="P482" s="600"/>
      <c r="Q482" s="600"/>
    </row>
    <row r="483" spans="1:1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00"/>
      <c r="O483" s="600"/>
      <c r="P483" s="600"/>
      <c r="Q483" s="600"/>
    </row>
    <row r="484" spans="1:1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00"/>
      <c r="O484" s="600"/>
      <c r="P484" s="600"/>
      <c r="Q484" s="600"/>
    </row>
    <row r="485" spans="1:1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00"/>
      <c r="O485" s="600"/>
      <c r="P485" s="600"/>
      <c r="Q485" s="600"/>
    </row>
    <row r="486" spans="1:1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00"/>
      <c r="O486" s="600"/>
      <c r="P486" s="600"/>
      <c r="Q486" s="600"/>
    </row>
    <row r="487" spans="1:1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00"/>
      <c r="O487" s="600"/>
      <c r="P487" s="600"/>
      <c r="Q487" s="600"/>
    </row>
    <row r="488" spans="1:1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00"/>
      <c r="O488" s="600"/>
      <c r="P488" s="600"/>
      <c r="Q488" s="600"/>
    </row>
    <row r="489" spans="1:1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00"/>
      <c r="O489" s="600"/>
      <c r="P489" s="600"/>
      <c r="Q489" s="600"/>
    </row>
    <row r="490" spans="1:1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00"/>
      <c r="O490" s="600"/>
      <c r="P490" s="600"/>
      <c r="Q490" s="600"/>
    </row>
    <row r="491" spans="1:1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00"/>
      <c r="O491" s="600"/>
      <c r="P491" s="600"/>
      <c r="Q491" s="600"/>
    </row>
    <row r="492" spans="1:1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00"/>
      <c r="O492" s="600"/>
      <c r="P492" s="600"/>
      <c r="Q492" s="600"/>
    </row>
    <row r="493" spans="1:1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00"/>
      <c r="O493" s="600"/>
      <c r="P493" s="600"/>
      <c r="Q493" s="600"/>
    </row>
    <row r="494" spans="1:1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00"/>
      <c r="O494" s="600"/>
      <c r="P494" s="600"/>
      <c r="Q494" s="600"/>
    </row>
    <row r="495" spans="1:1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00"/>
      <c r="O495" s="600"/>
      <c r="P495" s="600"/>
      <c r="Q495" s="600"/>
    </row>
    <row r="496" spans="1:1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00"/>
      <c r="O496" s="600"/>
      <c r="P496" s="600"/>
      <c r="Q496" s="600"/>
    </row>
    <row r="497" spans="1:1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00"/>
      <c r="O497" s="600"/>
      <c r="P497" s="600"/>
      <c r="Q497" s="600"/>
    </row>
    <row r="498" spans="1:1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00"/>
      <c r="O498" s="600"/>
      <c r="P498" s="600"/>
      <c r="Q498" s="600"/>
    </row>
    <row r="499" spans="1:1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00"/>
      <c r="O499" s="600"/>
      <c r="P499" s="600"/>
      <c r="Q499" s="600"/>
    </row>
    <row r="500" spans="1:1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00"/>
      <c r="O500" s="600"/>
      <c r="P500" s="600"/>
      <c r="Q500" s="600"/>
    </row>
    <row r="501" spans="1:1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00"/>
      <c r="O501" s="600"/>
      <c r="P501" s="600"/>
      <c r="Q501" s="600"/>
    </row>
    <row r="502" spans="1:1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00"/>
      <c r="O502" s="600"/>
      <c r="P502" s="600"/>
      <c r="Q502" s="600"/>
    </row>
    <row r="503" spans="1:1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00"/>
      <c r="O503" s="600"/>
      <c r="P503" s="600"/>
      <c r="Q503" s="600"/>
    </row>
    <row r="504" spans="1:1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00"/>
      <c r="O504" s="600"/>
      <c r="P504" s="600"/>
      <c r="Q504" s="600"/>
    </row>
    <row r="505" spans="1:1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00"/>
      <c r="O505" s="600"/>
      <c r="P505" s="600"/>
      <c r="Q505" s="600"/>
    </row>
    <row r="506" spans="1:1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00"/>
      <c r="O506" s="600"/>
      <c r="P506" s="600"/>
      <c r="Q506" s="600"/>
    </row>
    <row r="507" spans="1:1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00"/>
      <c r="O507" s="600"/>
      <c r="P507" s="600"/>
      <c r="Q507" s="600"/>
    </row>
    <row r="508" spans="1:1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00"/>
      <c r="O508" s="600"/>
      <c r="P508" s="600"/>
      <c r="Q508" s="600"/>
    </row>
    <row r="509" spans="1:1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00"/>
      <c r="O509" s="600"/>
      <c r="P509" s="600"/>
      <c r="Q509" s="600"/>
    </row>
    <row r="510" spans="1:1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00"/>
      <c r="O510" s="600"/>
      <c r="P510" s="600"/>
      <c r="Q510" s="600"/>
    </row>
    <row r="511" spans="1:1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00"/>
      <c r="O511" s="600"/>
      <c r="P511" s="600"/>
      <c r="Q511" s="600"/>
    </row>
    <row r="512" spans="1:1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00"/>
      <c r="O512" s="600"/>
      <c r="P512" s="600"/>
      <c r="Q512" s="600"/>
    </row>
    <row r="513" spans="1:1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00"/>
      <c r="O513" s="600"/>
      <c r="P513" s="600"/>
      <c r="Q513" s="600"/>
    </row>
    <row r="514" spans="1:1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00"/>
      <c r="O514" s="600"/>
      <c r="P514" s="600"/>
      <c r="Q514" s="600"/>
    </row>
    <row r="515" spans="1:1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00"/>
      <c r="O515" s="600"/>
      <c r="P515" s="600"/>
      <c r="Q515" s="600"/>
    </row>
    <row r="516" spans="1:1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00"/>
      <c r="O516" s="600"/>
      <c r="P516" s="600"/>
      <c r="Q516" s="600"/>
    </row>
    <row r="517" spans="1:1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00"/>
      <c r="O517" s="600"/>
      <c r="P517" s="600"/>
      <c r="Q517" s="600"/>
    </row>
    <row r="518" spans="1:1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00"/>
      <c r="O518" s="600"/>
      <c r="P518" s="600"/>
      <c r="Q518" s="600"/>
    </row>
    <row r="519" spans="1:1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00"/>
      <c r="O519" s="600"/>
      <c r="P519" s="600"/>
      <c r="Q519" s="600"/>
    </row>
    <row r="520" spans="1:1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00"/>
      <c r="O520" s="600"/>
      <c r="P520" s="600"/>
      <c r="Q520" s="600"/>
    </row>
    <row r="521" spans="1:1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00"/>
      <c r="O521" s="600"/>
      <c r="P521" s="600"/>
      <c r="Q521" s="600"/>
    </row>
    <row r="522" spans="1:1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00"/>
      <c r="O522" s="600"/>
      <c r="P522" s="600"/>
      <c r="Q522" s="600"/>
    </row>
    <row r="523" spans="1:1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00"/>
      <c r="O523" s="600"/>
      <c r="P523" s="600"/>
      <c r="Q523" s="600"/>
    </row>
    <row r="524" spans="1:1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00"/>
      <c r="O524" s="600"/>
      <c r="P524" s="600"/>
      <c r="Q524" s="600"/>
    </row>
    <row r="525" spans="1:1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00"/>
      <c r="O525" s="600"/>
      <c r="P525" s="600"/>
      <c r="Q525" s="600"/>
    </row>
    <row r="526" spans="1:1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00"/>
      <c r="O526" s="600"/>
      <c r="P526" s="600"/>
      <c r="Q526" s="600"/>
    </row>
    <row r="527" spans="1:1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00"/>
      <c r="O527" s="600"/>
      <c r="P527" s="600"/>
      <c r="Q527" s="600"/>
    </row>
    <row r="528" spans="1:1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00"/>
      <c r="O528" s="600"/>
      <c r="P528" s="600"/>
      <c r="Q528" s="600"/>
    </row>
    <row r="529" spans="1:1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00"/>
      <c r="O529" s="600"/>
      <c r="P529" s="600"/>
      <c r="Q529" s="600"/>
    </row>
    <row r="530" spans="1:1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00"/>
      <c r="O530" s="600"/>
      <c r="P530" s="600"/>
      <c r="Q530" s="600"/>
    </row>
    <row r="531" spans="1:1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00"/>
      <c r="O531" s="600"/>
      <c r="P531" s="600"/>
      <c r="Q531" s="600"/>
    </row>
    <row r="532" spans="1:1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00"/>
      <c r="O532" s="600"/>
      <c r="P532" s="600"/>
      <c r="Q532" s="600"/>
    </row>
    <row r="533" spans="1:1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00"/>
      <c r="O533" s="600"/>
      <c r="P533" s="600"/>
      <c r="Q533" s="600"/>
    </row>
    <row r="534" spans="1:1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00"/>
      <c r="O534" s="600"/>
      <c r="P534" s="600"/>
      <c r="Q534" s="600"/>
    </row>
    <row r="535" spans="1:1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00"/>
      <c r="O535" s="600"/>
      <c r="P535" s="600"/>
      <c r="Q535" s="600"/>
    </row>
    <row r="536" spans="1:1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00"/>
      <c r="O536" s="600"/>
      <c r="P536" s="600"/>
      <c r="Q536" s="600"/>
    </row>
    <row r="537" spans="1:1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00"/>
      <c r="O537" s="600"/>
      <c r="P537" s="600"/>
      <c r="Q537" s="600"/>
    </row>
    <row r="538" spans="1:1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00"/>
      <c r="O538" s="600"/>
      <c r="P538" s="600"/>
      <c r="Q538" s="600"/>
    </row>
    <row r="539" spans="1:1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00"/>
      <c r="O539" s="600"/>
      <c r="P539" s="600"/>
      <c r="Q539" s="600"/>
    </row>
    <row r="540" spans="1:1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00"/>
      <c r="O540" s="600"/>
      <c r="P540" s="600"/>
      <c r="Q540" s="600"/>
    </row>
    <row r="541" spans="1:1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00"/>
      <c r="O541" s="600"/>
      <c r="P541" s="600"/>
      <c r="Q541" s="600"/>
    </row>
    <row r="542" spans="1:1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00"/>
      <c r="O542" s="600"/>
      <c r="P542" s="600"/>
      <c r="Q542" s="600"/>
    </row>
    <row r="543" spans="1:1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00"/>
      <c r="O543" s="600"/>
      <c r="P543" s="600"/>
      <c r="Q543" s="600"/>
    </row>
    <row r="544" spans="1:1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00"/>
      <c r="O544" s="600"/>
      <c r="P544" s="600"/>
      <c r="Q544" s="600"/>
    </row>
    <row r="545" spans="1:1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00"/>
      <c r="O545" s="600"/>
      <c r="P545" s="600"/>
      <c r="Q545" s="600"/>
    </row>
    <row r="546" spans="1:1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00"/>
      <c r="O546" s="600"/>
      <c r="P546" s="600"/>
      <c r="Q546" s="600"/>
    </row>
    <row r="547" spans="1:1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00"/>
      <c r="O547" s="600"/>
      <c r="P547" s="600"/>
      <c r="Q547" s="600"/>
    </row>
    <row r="548" spans="1:1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00"/>
      <c r="O548" s="600"/>
      <c r="P548" s="600"/>
      <c r="Q548" s="600"/>
    </row>
    <row r="549" spans="1:1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00"/>
      <c r="O549" s="600"/>
      <c r="P549" s="600"/>
      <c r="Q549" s="600"/>
    </row>
    <row r="550" spans="1:1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00"/>
      <c r="O550" s="600"/>
      <c r="P550" s="600"/>
      <c r="Q550" s="600"/>
    </row>
    <row r="551" spans="1:1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00"/>
      <c r="O551" s="600"/>
      <c r="P551" s="600"/>
      <c r="Q551" s="600"/>
    </row>
    <row r="552" spans="1:1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00"/>
      <c r="O552" s="600"/>
      <c r="P552" s="600"/>
      <c r="Q552" s="600"/>
    </row>
    <row r="553" spans="1:1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00"/>
      <c r="O553" s="600"/>
      <c r="P553" s="600"/>
      <c r="Q553" s="600"/>
    </row>
    <row r="554" spans="1:1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00"/>
      <c r="O554" s="600"/>
      <c r="P554" s="600"/>
      <c r="Q554" s="600"/>
    </row>
    <row r="555" spans="1:1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00"/>
      <c r="O555" s="600"/>
      <c r="P555" s="600"/>
      <c r="Q555" s="600"/>
    </row>
    <row r="556" spans="1:1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00"/>
      <c r="O556" s="600"/>
      <c r="P556" s="600"/>
      <c r="Q556" s="600"/>
    </row>
    <row r="557" spans="1:1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00"/>
      <c r="O557" s="600"/>
      <c r="P557" s="600"/>
      <c r="Q557" s="600"/>
    </row>
    <row r="558" spans="1:1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00"/>
      <c r="O558" s="600"/>
      <c r="P558" s="600"/>
      <c r="Q558" s="600"/>
    </row>
    <row r="559" spans="1:1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00"/>
      <c r="O559" s="600"/>
      <c r="P559" s="600"/>
      <c r="Q559" s="600"/>
    </row>
    <row r="560" spans="1:1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00"/>
      <c r="O560" s="600"/>
      <c r="P560" s="600"/>
      <c r="Q560" s="600"/>
    </row>
    <row r="561" spans="1:1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00"/>
      <c r="O561" s="600"/>
      <c r="P561" s="600"/>
      <c r="Q561" s="600"/>
    </row>
    <row r="562" spans="1:1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00"/>
      <c r="O562" s="600"/>
      <c r="P562" s="600"/>
      <c r="Q562" s="600"/>
    </row>
    <row r="563" spans="1:1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00"/>
      <c r="O563" s="600"/>
      <c r="P563" s="600"/>
      <c r="Q563" s="600"/>
    </row>
    <row r="564" spans="1:1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00"/>
      <c r="O564" s="600"/>
      <c r="P564" s="600"/>
      <c r="Q564" s="600"/>
    </row>
    <row r="565" spans="1:1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00"/>
      <c r="O565" s="600"/>
      <c r="P565" s="600"/>
      <c r="Q565" s="600"/>
    </row>
    <row r="566" spans="1:1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00"/>
      <c r="O566" s="600"/>
      <c r="P566" s="600"/>
      <c r="Q566" s="600"/>
    </row>
    <row r="567" spans="1:1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00"/>
      <c r="O567" s="600"/>
      <c r="P567" s="600"/>
      <c r="Q567" s="600"/>
    </row>
    <row r="568" spans="1:1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00"/>
      <c r="O568" s="600"/>
      <c r="P568" s="600"/>
      <c r="Q568" s="600"/>
    </row>
    <row r="569" spans="1:1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00"/>
      <c r="O569" s="600"/>
      <c r="P569" s="600"/>
      <c r="Q569" s="600"/>
    </row>
    <row r="570" spans="1:1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00"/>
      <c r="O570" s="600"/>
      <c r="P570" s="600"/>
      <c r="Q570" s="600"/>
    </row>
    <row r="571" spans="1:1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00"/>
      <c r="O571" s="600"/>
      <c r="P571" s="600"/>
      <c r="Q571" s="600"/>
    </row>
    <row r="572" spans="1:1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00"/>
      <c r="O572" s="600"/>
      <c r="P572" s="600"/>
      <c r="Q572" s="600"/>
    </row>
    <row r="573" spans="1:1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00"/>
      <c r="O573" s="600"/>
      <c r="P573" s="600"/>
      <c r="Q573" s="600"/>
    </row>
    <row r="574" spans="1:1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00"/>
      <c r="O574" s="600"/>
      <c r="P574" s="600"/>
      <c r="Q574" s="600"/>
    </row>
    <row r="575" spans="1:1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00"/>
      <c r="O575" s="600"/>
      <c r="P575" s="600"/>
      <c r="Q575" s="600"/>
    </row>
    <row r="576" spans="1:1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00"/>
      <c r="O576" s="600"/>
      <c r="P576" s="600"/>
      <c r="Q576" s="600"/>
    </row>
    <row r="577" spans="1:1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00"/>
      <c r="O577" s="600"/>
      <c r="P577" s="600"/>
      <c r="Q577" s="600"/>
    </row>
    <row r="578" spans="1:1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00"/>
      <c r="O578" s="600"/>
      <c r="P578" s="600"/>
      <c r="Q578" s="600"/>
    </row>
    <row r="579" spans="1:1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00"/>
      <c r="O579" s="600"/>
      <c r="P579" s="600"/>
      <c r="Q579" s="600"/>
    </row>
    <row r="580" spans="1:1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00"/>
      <c r="O580" s="600"/>
      <c r="P580" s="600"/>
      <c r="Q580" s="600"/>
    </row>
    <row r="581" spans="1:1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00"/>
      <c r="O581" s="600"/>
      <c r="P581" s="600"/>
      <c r="Q581" s="600"/>
    </row>
    <row r="582" spans="1:1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00"/>
      <c r="O582" s="600"/>
      <c r="P582" s="600"/>
      <c r="Q582" s="600"/>
    </row>
    <row r="583" spans="1:1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00"/>
      <c r="O583" s="600"/>
      <c r="P583" s="600"/>
      <c r="Q583" s="600"/>
    </row>
    <row r="584" spans="1:1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00"/>
      <c r="O584" s="600"/>
      <c r="P584" s="600"/>
      <c r="Q584" s="600"/>
    </row>
    <row r="585" spans="1:1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00"/>
      <c r="O585" s="600"/>
      <c r="P585" s="600"/>
      <c r="Q585" s="600"/>
    </row>
    <row r="586" spans="1:1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00"/>
      <c r="O586" s="600"/>
      <c r="P586" s="600"/>
      <c r="Q586" s="600"/>
    </row>
    <row r="587" spans="1:1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00"/>
      <c r="O587" s="600"/>
      <c r="P587" s="600"/>
      <c r="Q587" s="600"/>
    </row>
    <row r="588" spans="1:1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00"/>
      <c r="O588" s="600"/>
      <c r="P588" s="600"/>
      <c r="Q588" s="600"/>
    </row>
    <row r="589" spans="1:1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00"/>
      <c r="O589" s="600"/>
      <c r="P589" s="600"/>
      <c r="Q589" s="600"/>
    </row>
    <row r="590" spans="1:1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00"/>
      <c r="O590" s="600"/>
      <c r="P590" s="600"/>
      <c r="Q590" s="600"/>
    </row>
    <row r="591" spans="1:1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00"/>
      <c r="O591" s="600"/>
      <c r="P591" s="600"/>
      <c r="Q591" s="600"/>
    </row>
    <row r="592" spans="1:1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00"/>
      <c r="O592" s="600"/>
      <c r="P592" s="600"/>
      <c r="Q592" s="600"/>
    </row>
    <row r="593" spans="1:1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00"/>
      <c r="O593" s="600"/>
      <c r="P593" s="600"/>
      <c r="Q593" s="600"/>
    </row>
    <row r="594" spans="1:1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00"/>
      <c r="O594" s="600"/>
      <c r="P594" s="600"/>
      <c r="Q594" s="600"/>
    </row>
    <row r="595" spans="1:1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00"/>
      <c r="O595" s="600"/>
      <c r="P595" s="600"/>
      <c r="Q595" s="600"/>
    </row>
    <row r="596" spans="1:1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00"/>
      <c r="O596" s="600"/>
      <c r="P596" s="600"/>
      <c r="Q596" s="600"/>
    </row>
    <row r="597" spans="1:1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00"/>
      <c r="O597" s="600"/>
      <c r="P597" s="600"/>
      <c r="Q597" s="600"/>
    </row>
    <row r="598" spans="1:1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00"/>
      <c r="O598" s="600"/>
      <c r="P598" s="600"/>
      <c r="Q598" s="600"/>
    </row>
    <row r="599" spans="1:1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00"/>
      <c r="O599" s="600"/>
      <c r="P599" s="600"/>
      <c r="Q599" s="600"/>
    </row>
    <row r="600" spans="1:1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00"/>
      <c r="O600" s="600"/>
      <c r="P600" s="600"/>
      <c r="Q600" s="600"/>
    </row>
    <row r="601" spans="1:1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00"/>
      <c r="O601" s="600"/>
      <c r="P601" s="600"/>
      <c r="Q601" s="600"/>
    </row>
    <row r="602" spans="1:1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00"/>
      <c r="O602" s="600"/>
      <c r="P602" s="600"/>
      <c r="Q602" s="600"/>
    </row>
    <row r="603" spans="1:1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00"/>
      <c r="O603" s="600"/>
      <c r="P603" s="600"/>
      <c r="Q603" s="600"/>
    </row>
  </sheetData>
  <mergeCells count="2">
    <mergeCell ref="B1:Q1"/>
    <mergeCell ref="B2:M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8"/>
  <sheetViews>
    <sheetView topLeftCell="J1" workbookViewId="0">
      <selection activeCell="K10" sqref="K10"/>
    </sheetView>
  </sheetViews>
  <sheetFormatPr defaultColWidth="30" defaultRowHeight="15" outlineLevelCol="1"/>
  <cols>
    <col min="1" max="1" width="3.85546875" style="88" hidden="1" customWidth="1"/>
    <col min="2" max="9" width="0" style="88" hidden="1" customWidth="1"/>
    <col min="10" max="10" width="30" style="88"/>
    <col min="11" max="21" width="30" style="88" customWidth="1" outlineLevel="1"/>
    <col min="22" max="16384" width="30" style="88"/>
  </cols>
  <sheetData>
    <row r="1" spans="1:25">
      <c r="J1" s="89" t="s">
        <v>87</v>
      </c>
      <c r="K1" s="88" t="s">
        <v>59</v>
      </c>
      <c r="L1" s="88" t="s">
        <v>60</v>
      </c>
      <c r="M1" s="88" t="s">
        <v>61</v>
      </c>
      <c r="N1" s="88" t="s">
        <v>62</v>
      </c>
      <c r="O1" s="88" t="s">
        <v>63</v>
      </c>
      <c r="P1" s="88" t="s">
        <v>64</v>
      </c>
      <c r="Q1" s="88" t="s">
        <v>65</v>
      </c>
      <c r="R1" s="88" t="s">
        <v>66</v>
      </c>
      <c r="S1" s="88" t="s">
        <v>67</v>
      </c>
      <c r="T1" s="88" t="s">
        <v>68</v>
      </c>
      <c r="U1" s="88" t="s">
        <v>69</v>
      </c>
      <c r="V1" s="549">
        <v>2021</v>
      </c>
      <c r="W1" s="550">
        <v>2022</v>
      </c>
      <c r="X1" s="550">
        <v>2023</v>
      </c>
      <c r="Y1" s="550">
        <v>2024</v>
      </c>
    </row>
    <row r="2" spans="1:25" ht="48.75" customHeight="1">
      <c r="A2" s="90"/>
      <c r="C2" s="613" t="s">
        <v>88</v>
      </c>
      <c r="D2" s="613"/>
      <c r="E2" s="613" t="s">
        <v>89</v>
      </c>
      <c r="F2" s="613"/>
      <c r="G2" s="613"/>
      <c r="J2" s="91" t="s">
        <v>90</v>
      </c>
      <c r="K2" s="92">
        <v>10000</v>
      </c>
      <c r="L2" s="92">
        <v>20000</v>
      </c>
      <c r="M2" s="92">
        <v>30000</v>
      </c>
      <c r="N2" s="92">
        <v>40000</v>
      </c>
      <c r="O2" s="92">
        <v>50000</v>
      </c>
      <c r="P2" s="92">
        <v>60000</v>
      </c>
      <c r="Q2" s="92">
        <v>70000</v>
      </c>
      <c r="R2" s="92">
        <v>80000</v>
      </c>
      <c r="S2" s="92">
        <v>90000</v>
      </c>
      <c r="T2" s="92">
        <v>100000</v>
      </c>
      <c r="U2" s="92">
        <v>110000</v>
      </c>
      <c r="V2" s="92">
        <v>120000</v>
      </c>
      <c r="W2" s="92">
        <v>150000</v>
      </c>
      <c r="X2" s="92">
        <v>180000</v>
      </c>
      <c r="Y2" s="93">
        <v>200000</v>
      </c>
    </row>
    <row r="3" spans="1:25" ht="23.25" customHeight="1" thickBot="1">
      <c r="A3" s="94"/>
      <c r="B3" s="95" t="s">
        <v>91</v>
      </c>
      <c r="C3" s="95" t="s">
        <v>92</v>
      </c>
      <c r="D3" s="95" t="s">
        <v>93</v>
      </c>
      <c r="E3" s="95" t="s">
        <v>94</v>
      </c>
      <c r="F3" s="95" t="s">
        <v>95</v>
      </c>
      <c r="G3" s="95" t="s">
        <v>96</v>
      </c>
      <c r="J3" s="96" t="s">
        <v>97</v>
      </c>
      <c r="K3" s="97">
        <f>K2*3</f>
        <v>30000</v>
      </c>
      <c r="L3" s="97">
        <f>L2*3</f>
        <v>60000</v>
      </c>
      <c r="M3" s="97">
        <f t="shared" ref="M3:Y3" si="0">M2*3</f>
        <v>90000</v>
      </c>
      <c r="N3" s="97">
        <f t="shared" si="0"/>
        <v>120000</v>
      </c>
      <c r="O3" s="97">
        <f t="shared" si="0"/>
        <v>150000</v>
      </c>
      <c r="P3" s="97">
        <f t="shared" si="0"/>
        <v>180000</v>
      </c>
      <c r="Q3" s="97">
        <f t="shared" si="0"/>
        <v>210000</v>
      </c>
      <c r="R3" s="97">
        <f t="shared" si="0"/>
        <v>240000</v>
      </c>
      <c r="S3" s="97">
        <f t="shared" si="0"/>
        <v>270000</v>
      </c>
      <c r="T3" s="97">
        <f t="shared" si="0"/>
        <v>300000</v>
      </c>
      <c r="U3" s="97">
        <f t="shared" si="0"/>
        <v>330000</v>
      </c>
      <c r="V3" s="97">
        <f t="shared" si="0"/>
        <v>360000</v>
      </c>
      <c r="W3" s="97">
        <f t="shared" si="0"/>
        <v>450000</v>
      </c>
      <c r="X3" s="97">
        <f t="shared" si="0"/>
        <v>540000</v>
      </c>
      <c r="Y3" s="98">
        <f t="shared" si="0"/>
        <v>600000</v>
      </c>
    </row>
    <row r="4" spans="1:25">
      <c r="A4" s="614" t="s">
        <v>98</v>
      </c>
      <c r="B4" s="617" t="s">
        <v>99</v>
      </c>
      <c r="C4" s="99">
        <v>1</v>
      </c>
      <c r="D4" s="100">
        <v>50000</v>
      </c>
      <c r="E4" s="101"/>
      <c r="F4" s="102"/>
      <c r="G4" s="103">
        <v>1.4</v>
      </c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5"/>
    </row>
    <row r="5" spans="1:25" ht="30">
      <c r="A5" s="615"/>
      <c r="B5" s="618"/>
      <c r="C5" s="106">
        <v>50001</v>
      </c>
      <c r="D5" s="106">
        <v>100000</v>
      </c>
      <c r="E5" s="107"/>
      <c r="F5" s="108"/>
      <c r="G5" s="109">
        <v>1.35</v>
      </c>
      <c r="J5" s="110" t="s">
        <v>100</v>
      </c>
      <c r="K5" s="111">
        <f t="shared" ref="K5:X5" si="1">IF(AND(K3&gt;=1,K3&lt;=50000),$G$4,IF(AND(K3&gt;=50001,K3&lt;=100000),$G$5,IF(AND(K3&gt;=100001,K3&lt;=200000),$G$6,IF(AND(K3&gt;=200001,K3&lt;=500000),$G$7,IF(AND(K3&gt;=500001,K3&lt;=1000000),$G$9,IF(AND(K3&gt;=1000001,K3&lt;=2000000),$G$10,IF(AND(K3&gt;=2000001,K3&lt;=5000000),$G$11,IF(AND(K3&gt;=5000001,K3&lt;=10000000),$G$12,IF(K3&gt;=10000001,$G$13,)))))))))+IF(AND(K3&gt;=1,K3&lt;=20000),$G$18,IF(AND(K3&gt;=20001,K3&lt;=40000),($E$19+($K$3-$C$19-1)*$G$19)/K3,IF(AND(K3&gt;=40001,K3&lt;=80000),($E$20+($K$3-$C$20-1)*$G$20)/K3,IF(AND(K3&gt;=80001,K3&lt;=200000),($E$21+($K$3-$C$21-1)*$G$21)/K3,IF(K3&gt;=200001,($E$22+(K3-$C$22-1)*$G$22)/K3)))))</f>
        <v>2.4999266666666666</v>
      </c>
      <c r="L5" s="111">
        <f t="shared" si="1"/>
        <v>1.9166333333333334</v>
      </c>
      <c r="M5" s="111">
        <f t="shared" si="1"/>
        <v>1.7499822222222223</v>
      </c>
      <c r="N5" s="111">
        <f t="shared" si="1"/>
        <v>1.5999866666666667</v>
      </c>
      <c r="O5" s="111">
        <f t="shared" si="1"/>
        <v>1.5399893333333334</v>
      </c>
      <c r="P5" s="111">
        <f t="shared" si="1"/>
        <v>1.4999911111111111</v>
      </c>
      <c r="Q5" s="111">
        <f t="shared" si="1"/>
        <v>1.8714238095238094</v>
      </c>
      <c r="R5" s="111">
        <f t="shared" si="1"/>
        <v>1.8499958333333333</v>
      </c>
      <c r="S5" s="111">
        <f t="shared" si="1"/>
        <v>1.8333296296296295</v>
      </c>
      <c r="T5" s="111">
        <f t="shared" si="1"/>
        <v>1.8199966666666665</v>
      </c>
      <c r="U5" s="111">
        <f t="shared" si="1"/>
        <v>1.8090878787878788</v>
      </c>
      <c r="V5" s="111">
        <f t="shared" si="1"/>
        <v>1.7999972222222222</v>
      </c>
      <c r="W5" s="112">
        <f t="shared" si="1"/>
        <v>1.7799977777777776</v>
      </c>
      <c r="X5" s="112">
        <f t="shared" si="1"/>
        <v>1.6666648148148149</v>
      </c>
      <c r="Y5" s="113">
        <f t="shared" ref="Y5" si="2">IF(AND(Y3&gt;=1,Y3&lt;=50000),$G$4,IF(AND(Y3&gt;=50001,Y3&lt;=100000),$G$5,IF(AND(Y3&gt;=100001,Y3&lt;=200000),$G$6,IF(AND(Y3&gt;=200001,Y3&lt;=500000),$G$7,IF(AND(Y3&gt;=500001,Y3&lt;=1000000),$G$9,IF(AND(Y3&gt;=1000001,Y3&lt;=2000000),$G$10,IF(AND(Y3&gt;=2000001,Y3&lt;=5000000),$G$11,IF(AND(Y3&gt;=5000001,Y3&lt;=10000000),$G$12,IF(Y3&gt;=10000001,$G$13,)))))))))+IF(AND(Y3&gt;=1,Y3&lt;=20000),$G$19,IF(AND(Y3&gt;=20001,Y3&lt;=40000),($E$20+($K$3-$C$20-1)*$G$20)/Y3,IF(AND(Y3&gt;=40001,Y3&lt;=80000),($E$21+($K$3-$C$21-1)*$G$21)/Y3,IF(AND(Y3&gt;=80001,Y3&lt;=200000),($E$22+($K$3-$C$22-1)*$G$22)/Y3,IF(Y3&gt;=200001,($E$23+(Y3-$C$23-1)*$G$23)/Y3)))))</f>
        <v>1.4599993333333334</v>
      </c>
    </row>
    <row r="6" spans="1:25" ht="45">
      <c r="A6" s="615"/>
      <c r="B6" s="618"/>
      <c r="C6" s="106">
        <v>100001</v>
      </c>
      <c r="D6" s="106">
        <v>200000</v>
      </c>
      <c r="E6" s="107"/>
      <c r="F6" s="108"/>
      <c r="G6" s="109">
        <v>1.3</v>
      </c>
      <c r="J6" s="110" t="s">
        <v>101</v>
      </c>
      <c r="K6" s="111">
        <f>K5*3</f>
        <v>7.4997799999999994</v>
      </c>
      <c r="L6" s="111">
        <f>L5*3</f>
        <v>5.7499000000000002</v>
      </c>
      <c r="M6" s="111">
        <f t="shared" ref="M6:Y6" si="3">M5*3</f>
        <v>5.2499466666666672</v>
      </c>
      <c r="N6" s="111">
        <f t="shared" si="3"/>
        <v>4.7999600000000004</v>
      </c>
      <c r="O6" s="111">
        <f t="shared" si="3"/>
        <v>4.6199680000000001</v>
      </c>
      <c r="P6" s="111">
        <f t="shared" si="3"/>
        <v>4.4999733333333332</v>
      </c>
      <c r="Q6" s="111">
        <f t="shared" si="3"/>
        <v>5.6142714285714277</v>
      </c>
      <c r="R6" s="111">
        <f t="shared" si="3"/>
        <v>5.5499875000000003</v>
      </c>
      <c r="S6" s="111">
        <f t="shared" si="3"/>
        <v>5.4999888888888888</v>
      </c>
      <c r="T6" s="111">
        <f t="shared" si="3"/>
        <v>5.4599899999999995</v>
      </c>
      <c r="U6" s="111">
        <f t="shared" si="3"/>
        <v>5.4272636363636364</v>
      </c>
      <c r="V6" s="111">
        <f t="shared" si="3"/>
        <v>5.3999916666666667</v>
      </c>
      <c r="W6" s="112">
        <f t="shared" si="3"/>
        <v>5.3399933333333323</v>
      </c>
      <c r="X6" s="112">
        <f t="shared" si="3"/>
        <v>4.9999944444444449</v>
      </c>
      <c r="Y6" s="113">
        <f t="shared" si="3"/>
        <v>4.3799980000000005</v>
      </c>
    </row>
    <row r="7" spans="1:25" ht="45">
      <c r="A7" s="615"/>
      <c r="B7" s="618"/>
      <c r="C7" s="106">
        <v>200001</v>
      </c>
      <c r="D7" s="106">
        <v>500000</v>
      </c>
      <c r="E7" s="107"/>
      <c r="F7" s="108"/>
      <c r="G7" s="109">
        <v>1.2</v>
      </c>
      <c r="J7" s="110" t="s">
        <v>102</v>
      </c>
      <c r="K7" s="111">
        <f>IF(AND(K2&gt;=$B$30,K2&lt;=$C$30),($E$30/K2),IF(AND(K2&gt;=$B$31,K2&lt;=$C$31),($E$31+(K2-$B$31-1)*$F$31)/K2,IF(AND(K2&gt;=$B$32,K2&lt;=$C$32),($E$32+(K2-$B$32-1)*$F$32)/K2,IF(AND(K2&gt;=$B$33,K2&lt;=$C$33),($E$33+(K2-$B$33-1)*$F$33)/K2,IF(AND(K2&gt;=$B$34,K2&lt;=$C$34),($E$34+(K2-$B$34-1)*$F$34)/K2,IF(AND(K2&gt;=$B$35,K2&lt;=$C$35),($E$35+(K2-$B$35-1)*$F$35)/K2,IF(AND(K2&gt;=$B$36,K2&lt;=$C$36),($E$36+(K2-$B$36-1)*$F$36)/K2,IF(AND(K2&gt;=$B$37,K2&lt;=$C$37),($E$37+(K2-$B$37-1)*$F$37)/K2,IF(AND(K2&gt;=$B$38,K2&lt;=$C$38),($E$38+(K2-$B$38-1)*$F$38)/K2,IF(AND(K2&gt;=$B$39,K2&lt;=$C$39),($E$39+(K2-$B$39-1)*$F$39)/K2,IF(K2&gt;=$B$40,($E$40+(K2-$B$40-1)*$F$40)/K2)))))))))))</f>
        <v>9.3763520000000007</v>
      </c>
      <c r="L7" s="111">
        <f>IF(AND(L2&gt;=$B$30,L2&lt;=$C$30),($E$30/L2),IF(AND(L2&gt;=$B$31,L2&lt;=$C$31),($E$31+(L2-$B$31-1)*$F$31)/L2,IF(AND(L2&gt;=$B$32,L2&lt;=$C$32),($E$32+(L2-$B$32-1)*$F$32)/L2,IF(AND(L2&gt;=$B$33,L2&lt;=$C$33),($E$33+(L2-$B$33-1)*$F$33)/L2,IF(AND(L2&gt;=$B$34,L2&lt;=$C$34),($E$34+(L2-$B$34-1)*$F$34)/L2,IF(AND(L2&gt;=$B$35,L2&lt;=$C$35),($E$35+(L2-$B$35-1)*$F$35)/L2,IF(AND(L2&gt;=$B$36,L2&lt;=$C$36),($E$36+(L2-$B$36-1)*$F$36)/L2,IF(AND(L2&gt;=$B$37,L2&lt;=$C$37),($E$37+(L2-$B$37-1)*$F$37)/L2,IF(AND(L2&gt;=$B$38,L2&lt;=$C$38),($E$38+(L2-$B$38-1)*$F$38)/L2,IF(AND(L2&gt;=$B$39,L2&lt;=$C$39),($E$39+(L2-$B$39-1)*$F$39)/L2,IF(L2&gt;=$B$40,($E$40+(L2-$B$40-1)*$F$40)/L2)))))))))))</f>
        <v>8.2882800000000003</v>
      </c>
      <c r="M7" s="111">
        <f t="shared" ref="M7:X7" si="4">IF(AND(M2&gt;=$B$30,M2&lt;=$C$30),($E$30/M2),IF(AND(M2&gt;=$B$31,M2&lt;=$C$31),($E$31+(M2-$B$31-1)*$F$31)/M2,IF(AND(M2&gt;=$B$32,M2&lt;=$C$32),($E$32+(M2-$B$32-1)*$F$32)/M2,IF(AND(M2&gt;=$B$33,M2&lt;=$C$33),($E$33+(M2-$B$33-1)*$F$33)/M2,IF(AND(M2&gt;=$B$34,M2&lt;=$C$34),($E$34+(M2-$B$34-1)*$F$34)/M2,IF(AND(M2&gt;=$B$35,M2&lt;=$C$35),($E$35+(M2-$B$35-1)*$F$35)/M2,IF(AND(M2&gt;=$B$36,M2&lt;=$C$36),($E$36+(M2-$B$36-1)*$F$36)/M2,IF(AND(M2&gt;=$B$37,M2&lt;=$C$37),($E$37+(M2-$B$37-1)*$F$37)/M2,IF(AND(M2&gt;=$B$38,M2&lt;=$C$38),($E$38+(M2-$B$38-1)*$F$38)/M2,IF(AND(M2&gt;=$B$39,M2&lt;=$C$39),($E$39+(M2-$B$39-1)*$F$39)/M2,IF(M2&gt;=$B$40,($E$40+(M2-$B$40-1)*$F$40)/M2)))))))))))</f>
        <v>7.6689559999999997</v>
      </c>
      <c r="N7" s="111">
        <f t="shared" si="4"/>
        <v>7.1667170000000002</v>
      </c>
      <c r="O7" s="111">
        <f t="shared" si="4"/>
        <v>6.8653735999999999</v>
      </c>
      <c r="P7" s="111">
        <f t="shared" si="4"/>
        <v>6.4911793333333332</v>
      </c>
      <c r="Q7" s="111">
        <f t="shared" si="4"/>
        <v>6.2238680000000004</v>
      </c>
      <c r="R7" s="111">
        <f t="shared" si="4"/>
        <v>6.0233844999999997</v>
      </c>
      <c r="S7" s="111">
        <f t="shared" si="4"/>
        <v>5.8674528888888888</v>
      </c>
      <c r="T7" s="111">
        <f t="shared" si="4"/>
        <v>5.7427076000000001</v>
      </c>
      <c r="U7" s="111">
        <f t="shared" si="4"/>
        <v>5.5006712727272724</v>
      </c>
      <c r="V7" s="111">
        <f t="shared" si="4"/>
        <v>5.2989486666666661</v>
      </c>
      <c r="W7" s="112">
        <f t="shared" si="4"/>
        <v>4.8551589333333327</v>
      </c>
      <c r="X7" s="112">
        <f t="shared" si="4"/>
        <v>4.5592991111111107</v>
      </c>
      <c r="Y7" s="113">
        <f t="shared" ref="Y7" si="5">IF(AND(Y2&gt;=$B$31,Y2&lt;=$C$31),($E$31/Y2),IF(AND(Y2&gt;=$B$32,Y2&lt;=$C$32),($E$32+(Y2-$B$32-1)*$F$32)/Y2,IF(AND(Y2&gt;=$B$33,Y2&lt;=$C$33),($E$33+(Y2-$B$33-1)*$F$33)/Y2,IF(AND(Y2&gt;=$B$34,Y2&lt;=$C$34),($E$34+(Y2-$B$34-1)*$F$34)/Y2,IF(AND(Y2&gt;=$B$35,Y2&lt;=$C$35),($E$35+(Y2-$B$35-1)*$F$35)/Y2,IF(AND(Y2&gt;=$B$36,Y2&lt;=$C$36),($E$36+(Y2-$B$36-1)*$F$36)/Y2,IF(AND(Y2&gt;=$B$37,Y2&lt;=$C$37),($E$37+(Y2-$B$37-1)*$F$37)/Y2,IF(AND(Y2&gt;=$B$38,Y2&lt;=$C$38),($E$38+(Y2-$B$38-1)*$F$38)/Y2,IF(AND(Y2&gt;=$B$39,Y2&lt;=$C$39),($E$39+(Y2-$B$39-1)*$F$39)/Y2,IF(AND(Y2&gt;=$B$40,Y2&lt;=$C$40),($E$40+(Y2-$B$40-1)*$F$40)/Y2,IF(Y2&gt;=$B$41,($E$41+(Y2-$B$41-1)*$F$41)/Y2)))))))))))</f>
        <v>4.4113692000000002</v>
      </c>
    </row>
    <row r="8" spans="1:25" ht="45">
      <c r="A8" s="615"/>
      <c r="B8" s="618"/>
      <c r="C8" s="106"/>
      <c r="D8" s="106"/>
      <c r="E8" s="107"/>
      <c r="F8" s="108"/>
      <c r="G8" s="109"/>
      <c r="J8" s="114" t="s">
        <v>103</v>
      </c>
      <c r="K8" s="115">
        <v>12.289047999999999</v>
      </c>
      <c r="L8" s="115">
        <v>11.189399999999999</v>
      </c>
      <c r="M8" s="115">
        <v>10.339477333333333</v>
      </c>
      <c r="N8" s="115">
        <v>9.6396080000000008</v>
      </c>
      <c r="O8" s="115">
        <v>10.049686399999999</v>
      </c>
      <c r="P8" s="115">
        <v>9.9230373333333333</v>
      </c>
      <c r="Q8" s="115">
        <v>9.6593160000000431</v>
      </c>
      <c r="R8" s="115">
        <v>9.4256515000000007</v>
      </c>
      <c r="S8" s="115">
        <v>9.2328013333332883</v>
      </c>
      <c r="T8" s="115">
        <v>9.0785212000000008</v>
      </c>
      <c r="U8" s="115">
        <v>8.9522639999999924</v>
      </c>
      <c r="V8" s="115">
        <v>8.8470753333333683</v>
      </c>
      <c r="W8" s="115">
        <v>8.6156602666666338</v>
      </c>
      <c r="X8" s="115">
        <v>8.6142451999999992</v>
      </c>
      <c r="Y8" s="116">
        <v>9.52</v>
      </c>
    </row>
    <row r="9" spans="1:25">
      <c r="A9" s="615"/>
      <c r="B9" s="618"/>
      <c r="C9" s="106">
        <v>500001</v>
      </c>
      <c r="D9" s="106">
        <v>1000000</v>
      </c>
      <c r="E9" s="107"/>
      <c r="F9" s="108"/>
      <c r="G9" s="109">
        <v>1.1000000000000001</v>
      </c>
      <c r="J9" s="110" t="s">
        <v>104</v>
      </c>
      <c r="K9" s="117">
        <f>K8+K7+K6</f>
        <v>29.165179999999999</v>
      </c>
      <c r="L9" s="117">
        <f t="shared" ref="L9:Y9" si="6">L6+L7+L8</f>
        <v>25.22758</v>
      </c>
      <c r="M9" s="117">
        <f t="shared" si="6"/>
        <v>23.258380000000002</v>
      </c>
      <c r="N9" s="117">
        <f t="shared" si="6"/>
        <v>21.606285</v>
      </c>
      <c r="O9" s="117">
        <f t="shared" si="6"/>
        <v>21.535027999999997</v>
      </c>
      <c r="P9" s="117">
        <f t="shared" si="6"/>
        <v>20.914189999999998</v>
      </c>
      <c r="Q9" s="117">
        <f t="shared" si="6"/>
        <v>21.49745542857147</v>
      </c>
      <c r="R9" s="117">
        <f t="shared" si="6"/>
        <v>20.9990235</v>
      </c>
      <c r="S9" s="117">
        <f t="shared" si="6"/>
        <v>20.600243111111066</v>
      </c>
      <c r="T9" s="117">
        <f t="shared" si="6"/>
        <v>20.281218800000001</v>
      </c>
      <c r="U9" s="117">
        <f t="shared" si="6"/>
        <v>19.8801989090909</v>
      </c>
      <c r="V9" s="117">
        <f t="shared" si="6"/>
        <v>19.546015666666701</v>
      </c>
      <c r="W9" s="117">
        <f t="shared" si="6"/>
        <v>18.810812533333298</v>
      </c>
      <c r="X9" s="117">
        <f t="shared" si="6"/>
        <v>18.173538755555555</v>
      </c>
      <c r="Y9" s="118">
        <f t="shared" si="6"/>
        <v>18.311367199999999</v>
      </c>
    </row>
    <row r="10" spans="1:25" ht="45">
      <c r="A10" s="615"/>
      <c r="B10" s="618"/>
      <c r="C10" s="106">
        <v>1000001</v>
      </c>
      <c r="D10" s="106">
        <v>2000000</v>
      </c>
      <c r="E10" s="107"/>
      <c r="F10" s="108"/>
      <c r="G10" s="109">
        <v>1.05</v>
      </c>
      <c r="J10" s="119" t="s">
        <v>105</v>
      </c>
      <c r="K10" s="120">
        <f t="shared" ref="K10:Y10" si="7">344580/K2</f>
        <v>34.457999999999998</v>
      </c>
      <c r="L10" s="120">
        <f t="shared" si="7"/>
        <v>17.228999999999999</v>
      </c>
      <c r="M10" s="120">
        <f t="shared" si="7"/>
        <v>11.486000000000001</v>
      </c>
      <c r="N10" s="120">
        <f t="shared" si="7"/>
        <v>8.6144999999999996</v>
      </c>
      <c r="O10" s="120">
        <f t="shared" si="7"/>
        <v>6.8916000000000004</v>
      </c>
      <c r="P10" s="120">
        <f t="shared" si="7"/>
        <v>5.7430000000000003</v>
      </c>
      <c r="Q10" s="120">
        <f t="shared" si="7"/>
        <v>4.9225714285714286</v>
      </c>
      <c r="R10" s="120">
        <f t="shared" si="7"/>
        <v>4.3072499999999998</v>
      </c>
      <c r="S10" s="120">
        <f t="shared" si="7"/>
        <v>3.8286666666666669</v>
      </c>
      <c r="T10" s="120">
        <f t="shared" si="7"/>
        <v>3.4458000000000002</v>
      </c>
      <c r="U10" s="120">
        <f t="shared" si="7"/>
        <v>3.1325454545454545</v>
      </c>
      <c r="V10" s="120">
        <f t="shared" si="7"/>
        <v>2.8715000000000002</v>
      </c>
      <c r="W10" s="120">
        <f t="shared" si="7"/>
        <v>2.2972000000000001</v>
      </c>
      <c r="X10" s="120">
        <f t="shared" si="7"/>
        <v>1.9143333333333334</v>
      </c>
      <c r="Y10" s="121">
        <f t="shared" si="7"/>
        <v>1.7229000000000001</v>
      </c>
    </row>
    <row r="11" spans="1:25" ht="26.25">
      <c r="A11" s="615"/>
      <c r="B11" s="618"/>
      <c r="C11" s="106">
        <v>2000001</v>
      </c>
      <c r="D11" s="106">
        <v>5000000</v>
      </c>
      <c r="E11" s="107"/>
      <c r="F11" s="108"/>
      <c r="G11" s="109">
        <v>1</v>
      </c>
      <c r="J11" s="122" t="s">
        <v>106</v>
      </c>
      <c r="K11" s="123">
        <f>K9+K10</f>
        <v>63.623179999999998</v>
      </c>
      <c r="L11" s="123">
        <f>L9+L10</f>
        <v>42.456580000000002</v>
      </c>
      <c r="M11" s="123">
        <f t="shared" ref="M11:Y11" si="8">M9+M10</f>
        <v>34.744380000000007</v>
      </c>
      <c r="N11" s="123">
        <f t="shared" si="8"/>
        <v>30.220784999999999</v>
      </c>
      <c r="O11" s="123">
        <f t="shared" si="8"/>
        <v>28.426627999999997</v>
      </c>
      <c r="P11" s="123">
        <f t="shared" si="8"/>
        <v>26.65719</v>
      </c>
      <c r="Q11" s="123">
        <f t="shared" si="8"/>
        <v>26.420026857142901</v>
      </c>
      <c r="R11" s="123">
        <f t="shared" si="8"/>
        <v>25.3062735</v>
      </c>
      <c r="S11" s="123">
        <f t="shared" si="8"/>
        <v>24.428909777777733</v>
      </c>
      <c r="T11" s="123">
        <f t="shared" si="8"/>
        <v>23.727018800000003</v>
      </c>
      <c r="U11" s="123">
        <f t="shared" si="8"/>
        <v>23.012744363636354</v>
      </c>
      <c r="V11" s="123">
        <f t="shared" si="8"/>
        <v>22.417515666666702</v>
      </c>
      <c r="W11" s="123">
        <f t="shared" si="8"/>
        <v>21.108012533333298</v>
      </c>
      <c r="X11" s="123">
        <f t="shared" si="8"/>
        <v>20.087872088888886</v>
      </c>
      <c r="Y11" s="124">
        <f t="shared" si="8"/>
        <v>20.034267199999999</v>
      </c>
    </row>
    <row r="12" spans="1:25" ht="23.25">
      <c r="A12" s="615"/>
      <c r="B12" s="618"/>
      <c r="C12" s="106">
        <v>5000001</v>
      </c>
      <c r="D12" s="106">
        <v>10000000</v>
      </c>
      <c r="E12" s="107"/>
      <c r="F12" s="108"/>
      <c r="G12" s="109">
        <v>0.95</v>
      </c>
      <c r="J12" s="125" t="s">
        <v>107</v>
      </c>
      <c r="K12" s="126">
        <f>K11*K2</f>
        <v>636231.79999999993</v>
      </c>
      <c r="L12" s="126">
        <f t="shared" ref="L12:Y12" si="9">L11*L2</f>
        <v>849131.60000000009</v>
      </c>
      <c r="M12" s="126">
        <f t="shared" si="9"/>
        <v>1042331.4000000003</v>
      </c>
      <c r="N12" s="126">
        <f t="shared" si="9"/>
        <v>1208831.3999999999</v>
      </c>
      <c r="O12" s="126">
        <f t="shared" si="9"/>
        <v>1421331.4</v>
      </c>
      <c r="P12" s="126">
        <f t="shared" si="9"/>
        <v>1599431.4</v>
      </c>
      <c r="Q12" s="126">
        <f t="shared" si="9"/>
        <v>1849401.8800000031</v>
      </c>
      <c r="R12" s="126">
        <f t="shared" si="9"/>
        <v>2024501.88</v>
      </c>
      <c r="S12" s="126">
        <f t="shared" si="9"/>
        <v>2198601.8799999962</v>
      </c>
      <c r="T12" s="126">
        <f t="shared" si="9"/>
        <v>2372701.8800000004</v>
      </c>
      <c r="U12" s="126">
        <f t="shared" si="9"/>
        <v>2531401.879999999</v>
      </c>
      <c r="V12" s="126">
        <f>V11*V2*12</f>
        <v>32281222.560000047</v>
      </c>
      <c r="W12" s="126">
        <f>W11*W2</f>
        <v>3166201.8799999948</v>
      </c>
      <c r="X12" s="126">
        <f t="shared" si="9"/>
        <v>3615816.9759999993</v>
      </c>
      <c r="Y12" s="127">
        <f t="shared" si="9"/>
        <v>4006853.44</v>
      </c>
    </row>
    <row r="13" spans="1:25" ht="15.75" thickBot="1">
      <c r="A13" s="616"/>
      <c r="B13" s="619"/>
      <c r="C13" s="128">
        <v>10000001</v>
      </c>
      <c r="D13" s="129" t="s">
        <v>108</v>
      </c>
      <c r="E13" s="130"/>
      <c r="F13" s="131"/>
      <c r="G13" s="132">
        <v>0.9</v>
      </c>
    </row>
    <row r="14" spans="1:25">
      <c r="A14" s="620" t="s">
        <v>109</v>
      </c>
      <c r="B14" s="614" t="s">
        <v>110</v>
      </c>
      <c r="C14" s="99">
        <v>1</v>
      </c>
      <c r="D14" s="100">
        <v>40000</v>
      </c>
      <c r="E14" s="101"/>
      <c r="F14" s="102"/>
      <c r="G14" s="103">
        <v>0.52</v>
      </c>
    </row>
    <row r="15" spans="1:25">
      <c r="A15" s="621"/>
      <c r="B15" s="615"/>
      <c r="C15" s="106">
        <v>40001</v>
      </c>
      <c r="D15" s="106">
        <v>80000</v>
      </c>
      <c r="E15" s="133">
        <v>24000</v>
      </c>
      <c r="F15" s="133">
        <f>E15/(C15-1)</f>
        <v>0.6</v>
      </c>
      <c r="G15" s="109">
        <v>0.5</v>
      </c>
    </row>
    <row r="16" spans="1:25">
      <c r="A16" s="621"/>
      <c r="B16" s="615"/>
      <c r="C16" s="106">
        <v>80001</v>
      </c>
      <c r="D16" s="106">
        <v>160000</v>
      </c>
      <c r="E16" s="133">
        <v>44000</v>
      </c>
      <c r="F16" s="133">
        <f>E16/(C16-1)</f>
        <v>0.55000000000000004</v>
      </c>
      <c r="G16" s="109">
        <v>0.4</v>
      </c>
    </row>
    <row r="17" spans="1:7">
      <c r="A17" s="621"/>
      <c r="B17" s="615"/>
      <c r="C17" s="106">
        <v>160001</v>
      </c>
      <c r="D17" s="106">
        <v>400000</v>
      </c>
      <c r="E17" s="133">
        <v>76000</v>
      </c>
      <c r="F17" s="133">
        <f>E17/(C17-1)</f>
        <v>0.47499999999999998</v>
      </c>
      <c r="G17" s="109">
        <v>0.3</v>
      </c>
    </row>
    <row r="18" spans="1:7" ht="15.75" thickBot="1">
      <c r="A18" s="622"/>
      <c r="B18" s="616"/>
      <c r="C18" s="128">
        <v>400001</v>
      </c>
      <c r="D18" s="129" t="s">
        <v>108</v>
      </c>
      <c r="E18" s="134">
        <v>148000</v>
      </c>
      <c r="F18" s="134">
        <f>E18/(C18-1)</f>
        <v>0.37</v>
      </c>
      <c r="G18" s="132">
        <v>0.2</v>
      </c>
    </row>
    <row r="19" spans="1:7">
      <c r="A19" s="623" t="s">
        <v>111</v>
      </c>
      <c r="B19" s="617" t="s">
        <v>112</v>
      </c>
      <c r="C19" s="99">
        <v>1</v>
      </c>
      <c r="D19" s="100">
        <v>20000</v>
      </c>
      <c r="E19" s="101"/>
      <c r="F19" s="102"/>
      <c r="G19" s="103">
        <v>1.1000000000000001</v>
      </c>
    </row>
    <row r="20" spans="1:7">
      <c r="A20" s="624"/>
      <c r="B20" s="618"/>
      <c r="C20" s="106">
        <v>20001</v>
      </c>
      <c r="D20" s="106">
        <v>40000</v>
      </c>
      <c r="E20" s="133">
        <v>24000</v>
      </c>
      <c r="F20" s="133">
        <f>E20/(C20-1)</f>
        <v>1.2</v>
      </c>
      <c r="G20" s="109">
        <v>1</v>
      </c>
    </row>
    <row r="21" spans="1:7">
      <c r="A21" s="624"/>
      <c r="B21" s="618"/>
      <c r="C21" s="106">
        <v>40001</v>
      </c>
      <c r="D21" s="106">
        <v>80000</v>
      </c>
      <c r="E21" s="133">
        <v>44000</v>
      </c>
      <c r="F21" s="133">
        <f>E21/(C21-1)</f>
        <v>1.1000000000000001</v>
      </c>
      <c r="G21" s="109">
        <v>0.8</v>
      </c>
    </row>
    <row r="22" spans="1:7">
      <c r="A22" s="624"/>
      <c r="B22" s="618"/>
      <c r="C22" s="106">
        <v>80001</v>
      </c>
      <c r="D22" s="106">
        <v>200000</v>
      </c>
      <c r="E22" s="133">
        <v>76000</v>
      </c>
      <c r="F22" s="133">
        <f>E22/(C22-1)</f>
        <v>0.95</v>
      </c>
      <c r="G22" s="109">
        <v>0.5</v>
      </c>
    </row>
    <row r="23" spans="1:7" ht="15.75" thickBot="1">
      <c r="A23" s="625"/>
      <c r="B23" s="619"/>
      <c r="C23" s="128">
        <v>200001</v>
      </c>
      <c r="D23" s="129" t="s">
        <v>108</v>
      </c>
      <c r="E23" s="134">
        <v>136000</v>
      </c>
      <c r="F23" s="134">
        <f>E23/(C23-1)</f>
        <v>0.68</v>
      </c>
      <c r="G23" s="132">
        <v>0.2</v>
      </c>
    </row>
    <row r="24" spans="1:7">
      <c r="A24" s="135"/>
      <c r="B24" s="136"/>
      <c r="C24" s="137"/>
      <c r="D24" s="138"/>
      <c r="E24" s="139"/>
      <c r="F24" s="139"/>
      <c r="G24" s="138"/>
    </row>
    <row r="25" spans="1:7" ht="15.75" thickBot="1"/>
    <row r="26" spans="1:7" ht="15.75" customHeight="1" thickBot="1">
      <c r="A26" s="140" t="s">
        <v>113</v>
      </c>
      <c r="B26" s="141"/>
      <c r="C26" s="141"/>
      <c r="D26" s="141"/>
      <c r="E26" s="141"/>
      <c r="F26" s="142"/>
      <c r="G26" s="143"/>
    </row>
    <row r="27" spans="1:7">
      <c r="A27" s="626" t="s">
        <v>114</v>
      </c>
      <c r="B27" s="626" t="s">
        <v>91</v>
      </c>
      <c r="C27" s="144"/>
      <c r="D27" s="626" t="s">
        <v>115</v>
      </c>
      <c r="E27" s="609" t="s">
        <v>116</v>
      </c>
      <c r="F27" s="610"/>
      <c r="G27" s="145"/>
    </row>
    <row r="28" spans="1:7" ht="15.75" thickBot="1">
      <c r="A28" s="627"/>
      <c r="B28" s="627"/>
      <c r="C28" s="146"/>
      <c r="D28" s="627"/>
      <c r="E28" s="611" t="s">
        <v>117</v>
      </c>
      <c r="F28" s="612"/>
      <c r="G28" s="145"/>
    </row>
    <row r="29" spans="1:7" ht="35.25" thickBot="1">
      <c r="A29" s="147" t="s">
        <v>98</v>
      </c>
      <c r="B29" s="148" t="s">
        <v>118</v>
      </c>
      <c r="C29" s="148"/>
      <c r="D29" s="149"/>
      <c r="E29" s="150" t="s">
        <v>94</v>
      </c>
      <c r="F29" s="151" t="s">
        <v>119</v>
      </c>
      <c r="G29" s="152"/>
    </row>
    <row r="30" spans="1:7" ht="15.75" thickBot="1">
      <c r="A30" s="153"/>
      <c r="B30" s="154" t="s">
        <v>120</v>
      </c>
      <c r="C30" s="154" t="s">
        <v>121</v>
      </c>
      <c r="D30" s="155"/>
      <c r="E30" s="150"/>
      <c r="F30" s="156"/>
      <c r="G30" s="152"/>
    </row>
    <row r="31" spans="1:7" ht="15.75" thickBot="1">
      <c r="A31" s="634"/>
      <c r="B31" s="157">
        <v>1</v>
      </c>
      <c r="C31" s="157">
        <v>500</v>
      </c>
      <c r="D31" s="158" t="s">
        <v>94</v>
      </c>
      <c r="E31" s="159">
        <v>5720</v>
      </c>
      <c r="F31" s="160"/>
      <c r="G31" s="161"/>
    </row>
    <row r="32" spans="1:7" ht="15.75" thickBot="1">
      <c r="A32" s="635"/>
      <c r="B32" s="153">
        <v>501</v>
      </c>
      <c r="C32" s="153">
        <v>1000</v>
      </c>
      <c r="D32" s="631" t="s">
        <v>122</v>
      </c>
      <c r="E32" s="162">
        <v>5720</v>
      </c>
      <c r="F32" s="163">
        <v>12.36</v>
      </c>
      <c r="G32" s="161"/>
    </row>
    <row r="33" spans="1:7" ht="15.75" thickBot="1">
      <c r="A33" s="635"/>
      <c r="B33" s="164">
        <v>1001</v>
      </c>
      <c r="C33" s="165">
        <v>2500</v>
      </c>
      <c r="D33" s="632"/>
      <c r="E33" s="166">
        <v>11900</v>
      </c>
      <c r="F33" s="167">
        <v>10.82</v>
      </c>
      <c r="G33" s="161"/>
    </row>
    <row r="34" spans="1:7" ht="15.75" thickBot="1">
      <c r="A34" s="635"/>
      <c r="B34" s="164">
        <v>2501</v>
      </c>
      <c r="C34" s="165">
        <v>5000</v>
      </c>
      <c r="D34" s="632"/>
      <c r="E34" s="166">
        <v>28130</v>
      </c>
      <c r="F34" s="168">
        <v>9.7799999999999994</v>
      </c>
      <c r="G34" s="161"/>
    </row>
    <row r="35" spans="1:7" ht="15.75" thickBot="1">
      <c r="A35" s="635"/>
      <c r="B35" s="164">
        <v>5001</v>
      </c>
      <c r="C35" s="165">
        <v>10000</v>
      </c>
      <c r="D35" s="632"/>
      <c r="E35" s="166">
        <v>52580</v>
      </c>
      <c r="F35" s="168">
        <v>8.24</v>
      </c>
      <c r="G35" s="161"/>
    </row>
    <row r="36" spans="1:7" ht="15.75" thickBot="1">
      <c r="A36" s="635"/>
      <c r="B36" s="169">
        <v>10001</v>
      </c>
      <c r="C36" s="170">
        <v>25000</v>
      </c>
      <c r="D36" s="632"/>
      <c r="E36" s="162">
        <v>93780</v>
      </c>
      <c r="F36" s="163">
        <v>7.2</v>
      </c>
      <c r="G36" s="161"/>
    </row>
    <row r="37" spans="1:7" ht="15.75" thickBot="1">
      <c r="A37" s="635"/>
      <c r="B37" s="164">
        <v>25001</v>
      </c>
      <c r="C37" s="165">
        <v>50000</v>
      </c>
      <c r="D37" s="632"/>
      <c r="E37" s="166">
        <v>201780</v>
      </c>
      <c r="F37" s="168">
        <v>5.66</v>
      </c>
      <c r="G37" s="161"/>
    </row>
    <row r="38" spans="1:7" ht="15.75" thickBot="1">
      <c r="A38" s="635"/>
      <c r="B38" s="164">
        <v>50001</v>
      </c>
      <c r="C38" s="165">
        <v>100000</v>
      </c>
      <c r="D38" s="632"/>
      <c r="E38" s="166">
        <v>343280</v>
      </c>
      <c r="F38" s="167">
        <v>4.62</v>
      </c>
      <c r="G38" s="161"/>
    </row>
    <row r="39" spans="1:7" ht="15.75" thickBot="1">
      <c r="A39" s="635"/>
      <c r="B39" s="164">
        <v>100001</v>
      </c>
      <c r="C39" s="165">
        <v>250000</v>
      </c>
      <c r="D39" s="632"/>
      <c r="E39" s="166">
        <v>574280</v>
      </c>
      <c r="F39" s="167">
        <v>3.08</v>
      </c>
      <c r="G39" s="161"/>
    </row>
    <row r="40" spans="1:7" ht="15.75" thickBot="1">
      <c r="A40" s="635"/>
      <c r="B40" s="164">
        <v>250001</v>
      </c>
      <c r="C40" s="165">
        <v>500000</v>
      </c>
      <c r="D40" s="632"/>
      <c r="E40" s="166">
        <v>1036280</v>
      </c>
      <c r="F40" s="167">
        <v>2.04</v>
      </c>
      <c r="G40" s="161"/>
    </row>
    <row r="41" spans="1:7" ht="15.75" thickBot="1">
      <c r="A41" s="636"/>
      <c r="B41" s="164">
        <v>500001</v>
      </c>
      <c r="C41" s="165"/>
      <c r="D41" s="633"/>
      <c r="E41" s="166">
        <v>1546280</v>
      </c>
      <c r="F41" s="167">
        <v>1.5</v>
      </c>
      <c r="G41" s="161"/>
    </row>
    <row r="42" spans="1:7" ht="35.25" thickBot="1">
      <c r="A42" s="153" t="s">
        <v>109</v>
      </c>
      <c r="B42" s="157" t="s">
        <v>123</v>
      </c>
      <c r="C42" s="157"/>
      <c r="D42" s="158" t="s">
        <v>124</v>
      </c>
      <c r="E42" s="637">
        <v>0.25</v>
      </c>
      <c r="F42" s="638"/>
      <c r="G42" s="171"/>
    </row>
    <row r="43" spans="1:7" ht="57.75" thickBot="1">
      <c r="A43" s="153" t="s">
        <v>125</v>
      </c>
      <c r="B43" s="157" t="s">
        <v>126</v>
      </c>
      <c r="C43" s="157"/>
      <c r="D43" s="158" t="s">
        <v>124</v>
      </c>
      <c r="E43" s="637">
        <v>1.75</v>
      </c>
      <c r="F43" s="638"/>
      <c r="G43" s="171"/>
    </row>
    <row r="44" spans="1:7" ht="57.75" thickBot="1">
      <c r="A44" s="153" t="s">
        <v>127</v>
      </c>
      <c r="B44" s="157" t="s">
        <v>128</v>
      </c>
      <c r="C44" s="157"/>
      <c r="D44" s="158" t="s">
        <v>124</v>
      </c>
      <c r="E44" s="637">
        <v>0.5</v>
      </c>
      <c r="F44" s="638"/>
      <c r="G44" s="171"/>
    </row>
    <row r="45" spans="1:7" ht="57" thickBot="1">
      <c r="A45" s="153" t="s">
        <v>129</v>
      </c>
      <c r="B45" s="153" t="s">
        <v>130</v>
      </c>
      <c r="C45" s="153"/>
      <c r="D45" s="158" t="s">
        <v>124</v>
      </c>
      <c r="E45" s="637">
        <v>1.55</v>
      </c>
      <c r="F45" s="638"/>
      <c r="G45" s="171"/>
    </row>
    <row r="46" spans="1:7" ht="23.25" thickBot="1">
      <c r="A46" s="153" t="s">
        <v>131</v>
      </c>
      <c r="B46" s="153" t="s">
        <v>132</v>
      </c>
      <c r="C46" s="153"/>
      <c r="D46" s="172" t="s">
        <v>133</v>
      </c>
      <c r="E46" s="639" t="s">
        <v>134</v>
      </c>
      <c r="F46" s="640"/>
      <c r="G46" s="173"/>
    </row>
    <row r="47" spans="1:7" ht="46.5" thickBot="1">
      <c r="A47" s="153" t="s">
        <v>135</v>
      </c>
      <c r="B47" s="157" t="s">
        <v>136</v>
      </c>
      <c r="C47" s="157"/>
      <c r="D47" s="158" t="s">
        <v>137</v>
      </c>
      <c r="E47" s="637">
        <v>500</v>
      </c>
      <c r="F47" s="638"/>
      <c r="G47" s="171"/>
    </row>
    <row r="48" spans="1:7" ht="46.5" thickBot="1">
      <c r="A48" s="153" t="s">
        <v>138</v>
      </c>
      <c r="B48" s="157" t="s">
        <v>139</v>
      </c>
      <c r="C48" s="157"/>
      <c r="D48" s="158" t="s">
        <v>137</v>
      </c>
      <c r="E48" s="641">
        <v>1500</v>
      </c>
      <c r="F48" s="642"/>
      <c r="G48" s="161"/>
    </row>
    <row r="49" spans="1:7" ht="46.5" thickBot="1">
      <c r="A49" s="153" t="s">
        <v>140</v>
      </c>
      <c r="B49" s="157" t="s">
        <v>141</v>
      </c>
      <c r="C49" s="157"/>
      <c r="D49" s="172" t="s">
        <v>122</v>
      </c>
      <c r="E49" s="641">
        <v>3500</v>
      </c>
      <c r="F49" s="642"/>
      <c r="G49" s="161"/>
    </row>
    <row r="50" spans="1:7" ht="24" thickBot="1">
      <c r="A50" s="628" t="s">
        <v>142</v>
      </c>
      <c r="B50" s="157" t="s">
        <v>143</v>
      </c>
      <c r="C50" s="157"/>
      <c r="D50" s="631" t="s">
        <v>144</v>
      </c>
      <c r="E50" s="158" t="s">
        <v>94</v>
      </c>
      <c r="F50" s="144" t="s">
        <v>119</v>
      </c>
      <c r="G50" s="152"/>
    </row>
    <row r="51" spans="1:7" ht="15.75" thickBot="1">
      <c r="A51" s="629"/>
      <c r="B51" s="157" t="s">
        <v>145</v>
      </c>
      <c r="C51" s="165"/>
      <c r="D51" s="632"/>
      <c r="E51" s="155"/>
      <c r="F51" s="174">
        <v>21</v>
      </c>
      <c r="G51" s="175"/>
    </row>
    <row r="52" spans="1:7" ht="15.75" thickBot="1">
      <c r="A52" s="629"/>
      <c r="B52" s="153" t="s">
        <v>146</v>
      </c>
      <c r="C52" s="170"/>
      <c r="D52" s="632"/>
      <c r="E52" s="162">
        <v>10500</v>
      </c>
      <c r="F52" s="176">
        <v>19</v>
      </c>
      <c r="G52" s="177"/>
    </row>
    <row r="53" spans="1:7" ht="15.75" thickBot="1">
      <c r="A53" s="629"/>
      <c r="B53" s="157" t="s">
        <v>147</v>
      </c>
      <c r="C53" s="165"/>
      <c r="D53" s="632"/>
      <c r="E53" s="166">
        <v>29500</v>
      </c>
      <c r="F53" s="174">
        <v>17</v>
      </c>
      <c r="G53" s="175"/>
    </row>
    <row r="54" spans="1:7" ht="15.75" thickBot="1">
      <c r="A54" s="630"/>
      <c r="B54" s="153" t="s">
        <v>148</v>
      </c>
      <c r="C54" s="170"/>
      <c r="D54" s="633"/>
      <c r="E54" s="162">
        <v>89000</v>
      </c>
      <c r="F54" s="178">
        <v>16</v>
      </c>
      <c r="G54" s="179"/>
    </row>
    <row r="55" spans="1:7" ht="24" thickBot="1">
      <c r="A55" s="628" t="s">
        <v>149</v>
      </c>
      <c r="B55" s="153" t="s">
        <v>150</v>
      </c>
      <c r="C55" s="153"/>
      <c r="D55" s="631" t="s">
        <v>144</v>
      </c>
      <c r="E55" s="158" t="s">
        <v>94</v>
      </c>
      <c r="F55" s="144" t="s">
        <v>119</v>
      </c>
      <c r="G55" s="152"/>
    </row>
    <row r="56" spans="1:7" ht="15.75" thickBot="1">
      <c r="A56" s="629"/>
      <c r="B56" s="157" t="s">
        <v>145</v>
      </c>
      <c r="C56" s="165"/>
      <c r="D56" s="632"/>
      <c r="E56" s="155"/>
      <c r="F56" s="174">
        <v>32</v>
      </c>
      <c r="G56" s="175"/>
    </row>
    <row r="57" spans="1:7" ht="15.75" thickBot="1">
      <c r="A57" s="629"/>
      <c r="B57" s="153" t="s">
        <v>146</v>
      </c>
      <c r="C57" s="170"/>
      <c r="D57" s="632"/>
      <c r="E57" s="166">
        <v>16000</v>
      </c>
      <c r="F57" s="176">
        <v>30</v>
      </c>
      <c r="G57" s="177"/>
    </row>
    <row r="58" spans="1:7" ht="15.75" thickBot="1">
      <c r="A58" s="629"/>
      <c r="B58" s="153" t="s">
        <v>147</v>
      </c>
      <c r="C58" s="170"/>
      <c r="D58" s="632"/>
      <c r="E58" s="162">
        <v>46000</v>
      </c>
      <c r="F58" s="174">
        <v>28</v>
      </c>
      <c r="G58" s="175"/>
    </row>
    <row r="59" spans="1:7" ht="15.75" thickBot="1">
      <c r="A59" s="630"/>
      <c r="B59" s="153" t="s">
        <v>148</v>
      </c>
      <c r="C59" s="170"/>
      <c r="D59" s="633"/>
      <c r="E59" s="162">
        <v>144000</v>
      </c>
      <c r="F59" s="163">
        <v>27</v>
      </c>
      <c r="G59" s="173"/>
    </row>
    <row r="60" spans="1:7" ht="22.5">
      <c r="A60" s="628" t="s">
        <v>151</v>
      </c>
      <c r="B60" s="153" t="s">
        <v>152</v>
      </c>
      <c r="C60" s="153"/>
      <c r="D60" s="631" t="s">
        <v>144</v>
      </c>
      <c r="E60" s="631" t="s">
        <v>94</v>
      </c>
      <c r="F60" s="626" t="s">
        <v>119</v>
      </c>
      <c r="G60" s="152"/>
    </row>
    <row r="61" spans="1:7" ht="15.75" thickBot="1">
      <c r="A61" s="629"/>
      <c r="B61" s="180">
        <v>5</v>
      </c>
      <c r="C61" s="180"/>
      <c r="D61" s="632"/>
      <c r="E61" s="633"/>
      <c r="F61" s="627"/>
      <c r="G61" s="152"/>
    </row>
    <row r="62" spans="1:7" ht="15.75" thickBot="1">
      <c r="A62" s="629"/>
      <c r="B62" s="157" t="s">
        <v>145</v>
      </c>
      <c r="C62" s="165"/>
      <c r="D62" s="632"/>
      <c r="E62" s="155"/>
      <c r="F62" s="178">
        <v>35.4</v>
      </c>
      <c r="G62" s="179"/>
    </row>
    <row r="63" spans="1:7" ht="15.75" thickBot="1">
      <c r="A63" s="629"/>
      <c r="B63" s="153" t="s">
        <v>146</v>
      </c>
      <c r="C63" s="170"/>
      <c r="D63" s="632"/>
      <c r="E63" s="162">
        <v>17700</v>
      </c>
      <c r="F63" s="176">
        <v>34.4</v>
      </c>
      <c r="G63" s="177"/>
    </row>
    <row r="64" spans="1:7" ht="15.75" thickBot="1">
      <c r="A64" s="629"/>
      <c r="B64" s="153" t="s">
        <v>147</v>
      </c>
      <c r="C64" s="170"/>
      <c r="D64" s="632"/>
      <c r="E64" s="162">
        <v>52100</v>
      </c>
      <c r="F64" s="176">
        <v>33.4</v>
      </c>
      <c r="G64" s="177"/>
    </row>
    <row r="65" spans="1:7" ht="15.75" thickBot="1">
      <c r="A65" s="630"/>
      <c r="B65" s="153" t="s">
        <v>148</v>
      </c>
      <c r="C65" s="170"/>
      <c r="D65" s="633"/>
      <c r="E65" s="162">
        <v>169000</v>
      </c>
      <c r="F65" s="181">
        <v>32.4</v>
      </c>
      <c r="G65" s="182"/>
    </row>
    <row r="66" spans="1:7" ht="15.75" thickBot="1">
      <c r="A66" s="157" t="s">
        <v>153</v>
      </c>
      <c r="B66" s="157" t="s">
        <v>154</v>
      </c>
      <c r="C66" s="157"/>
      <c r="D66" s="158" t="s">
        <v>155</v>
      </c>
      <c r="E66" s="637">
        <v>5</v>
      </c>
      <c r="F66" s="638"/>
      <c r="G66" s="171"/>
    </row>
    <row r="67" spans="1:7" ht="46.5" thickBot="1">
      <c r="A67" s="153" t="s">
        <v>156</v>
      </c>
      <c r="B67" s="157" t="s">
        <v>157</v>
      </c>
      <c r="C67" s="157"/>
      <c r="D67" s="172" t="s">
        <v>144</v>
      </c>
      <c r="E67" s="637">
        <v>250</v>
      </c>
      <c r="F67" s="638"/>
      <c r="G67" s="171"/>
    </row>
    <row r="68" spans="1:7" ht="24" thickBot="1">
      <c r="A68" s="147" t="s">
        <v>158</v>
      </c>
      <c r="B68" s="148" t="s">
        <v>159</v>
      </c>
      <c r="C68" s="148"/>
      <c r="D68" s="183" t="s">
        <v>160</v>
      </c>
      <c r="E68" s="639">
        <v>15</v>
      </c>
      <c r="F68" s="640"/>
      <c r="G68" s="173"/>
    </row>
    <row r="69" spans="1:7">
      <c r="A69" s="644" t="s">
        <v>161</v>
      </c>
      <c r="B69" s="644"/>
      <c r="C69" s="644"/>
      <c r="D69" s="644"/>
      <c r="E69" s="644"/>
      <c r="F69" s="184"/>
    </row>
    <row r="70" spans="1:7">
      <c r="A70" s="645" t="s">
        <v>162</v>
      </c>
      <c r="B70" s="645"/>
      <c r="C70" s="645"/>
      <c r="D70" s="645"/>
      <c r="E70" s="645"/>
      <c r="F70" s="185"/>
    </row>
    <row r="71" spans="1:7">
      <c r="A71" s="135"/>
      <c r="B71" s="136"/>
      <c r="C71" s="137"/>
      <c r="D71" s="138"/>
      <c r="E71" s="139"/>
      <c r="F71" s="139"/>
      <c r="G71" s="138"/>
    </row>
    <row r="72" spans="1:7">
      <c r="A72" s="643" t="s">
        <v>163</v>
      </c>
      <c r="B72" s="643"/>
      <c r="C72" s="643"/>
      <c r="D72" s="643"/>
      <c r="E72" s="135"/>
      <c r="F72" s="135"/>
      <c r="G72" s="138"/>
    </row>
    <row r="73" spans="1:7">
      <c r="A73" s="186" t="s">
        <v>114</v>
      </c>
      <c r="B73" s="186" t="s">
        <v>164</v>
      </c>
      <c r="C73" s="186" t="s">
        <v>115</v>
      </c>
      <c r="D73" s="186" t="s">
        <v>165</v>
      </c>
      <c r="E73" s="135"/>
      <c r="F73" s="135"/>
      <c r="G73" s="138"/>
    </row>
    <row r="74" spans="1:7" ht="33.75">
      <c r="A74" s="187">
        <v>1</v>
      </c>
      <c r="B74" s="187" t="s">
        <v>166</v>
      </c>
      <c r="C74" s="188" t="s">
        <v>167</v>
      </c>
      <c r="D74" s="188">
        <v>3.8</v>
      </c>
    </row>
    <row r="75" spans="1:7" ht="45">
      <c r="A75" s="187">
        <v>2</v>
      </c>
      <c r="B75" s="187" t="s">
        <v>168</v>
      </c>
      <c r="C75" s="188" t="s">
        <v>144</v>
      </c>
      <c r="D75" s="188">
        <v>10.4</v>
      </c>
    </row>
    <row r="76" spans="1:7" ht="45">
      <c r="A76" s="187">
        <v>3</v>
      </c>
      <c r="B76" s="187" t="s">
        <v>169</v>
      </c>
      <c r="C76" s="188" t="s">
        <v>144</v>
      </c>
      <c r="D76" s="188">
        <v>26</v>
      </c>
    </row>
    <row r="77" spans="1:7" ht="22.5">
      <c r="A77" s="187">
        <v>4</v>
      </c>
      <c r="B77" s="187" t="s">
        <v>170</v>
      </c>
      <c r="C77" s="188" t="s">
        <v>171</v>
      </c>
      <c r="D77" s="189">
        <v>6.4999999999999997E-3</v>
      </c>
    </row>
    <row r="78" spans="1:7" ht="22.5">
      <c r="A78" s="187">
        <v>5</v>
      </c>
      <c r="B78" s="187" t="s">
        <v>172</v>
      </c>
      <c r="C78" s="188" t="s">
        <v>171</v>
      </c>
      <c r="D78" s="189">
        <v>3.5000000000000001E-3</v>
      </c>
    </row>
  </sheetData>
  <mergeCells count="37">
    <mergeCell ref="E66:F66"/>
    <mergeCell ref="E67:F67"/>
    <mergeCell ref="E68:F68"/>
    <mergeCell ref="A69:E69"/>
    <mergeCell ref="A70:E70"/>
    <mergeCell ref="A72:D72"/>
    <mergeCell ref="A55:A59"/>
    <mergeCell ref="D55:D59"/>
    <mergeCell ref="A60:A65"/>
    <mergeCell ref="D60:D65"/>
    <mergeCell ref="E60:E61"/>
    <mergeCell ref="F60:F61"/>
    <mergeCell ref="E46:F46"/>
    <mergeCell ref="E47:F47"/>
    <mergeCell ref="E48:F48"/>
    <mergeCell ref="E49:F49"/>
    <mergeCell ref="A50:A54"/>
    <mergeCell ref="D50:D54"/>
    <mergeCell ref="A31:A41"/>
    <mergeCell ref="D32:D41"/>
    <mergeCell ref="E42:F42"/>
    <mergeCell ref="E43:F43"/>
    <mergeCell ref="E44:F44"/>
    <mergeCell ref="E45:F45"/>
    <mergeCell ref="E27:F27"/>
    <mergeCell ref="E28:F28"/>
    <mergeCell ref="C2:D2"/>
    <mergeCell ref="E2:G2"/>
    <mergeCell ref="A4:A13"/>
    <mergeCell ref="B4:B13"/>
    <mergeCell ref="A14:A18"/>
    <mergeCell ref="B14:B18"/>
    <mergeCell ref="A19:A23"/>
    <mergeCell ref="B19:B23"/>
    <mergeCell ref="A27:A28"/>
    <mergeCell ref="B27:B28"/>
    <mergeCell ref="D27:D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J67"/>
  <sheetViews>
    <sheetView zoomScale="110" zoomScaleNormal="110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A63" sqref="A63:XFD67"/>
    </sheetView>
  </sheetViews>
  <sheetFormatPr defaultRowHeight="15" outlineLevelRow="1" outlineLevelCol="1"/>
  <cols>
    <col min="2" max="2" width="53.42578125" customWidth="1"/>
    <col min="3" max="3" width="42" style="190" hidden="1" customWidth="1" outlineLevel="1"/>
    <col min="4" max="4" width="47.42578125" hidden="1" customWidth="1" outlineLevel="1"/>
    <col min="5" max="5" width="14.140625" style="191" hidden="1" customWidth="1" outlineLevel="1"/>
    <col min="6" max="6" width="11.5703125" style="190" hidden="1" customWidth="1" outlineLevel="1"/>
    <col min="7" max="7" width="19" style="192" bestFit="1" customWidth="1" collapsed="1"/>
    <col min="8" max="8" width="14.42578125" style="192" hidden="1" customWidth="1" outlineLevel="1"/>
    <col min="9" max="9" width="13.140625" style="192" hidden="1" customWidth="1" outlineLevel="1"/>
    <col min="10" max="10" width="19" bestFit="1" customWidth="1" collapsed="1"/>
    <col min="11" max="11" width="19" hidden="1" customWidth="1" outlineLevel="1"/>
    <col min="12" max="12" width="17.42578125" hidden="1" customWidth="1" outlineLevel="1"/>
    <col min="13" max="13" width="19" bestFit="1" customWidth="1" collapsed="1"/>
    <col min="14" max="14" width="12" hidden="1" customWidth="1" outlineLevel="1"/>
    <col min="15" max="15" width="22.85546875" customWidth="1" collapsed="1"/>
    <col min="16" max="16" width="15.42578125" customWidth="1"/>
    <col min="17" max="17" width="15.140625" bestFit="1" customWidth="1"/>
    <col min="18" max="18" width="14.42578125" customWidth="1"/>
    <col min="19" max="19" width="10.5703125" bestFit="1" customWidth="1"/>
    <col min="20" max="20" width="11.140625" bestFit="1" customWidth="1"/>
    <col min="21" max="21" width="14.140625" bestFit="1" customWidth="1"/>
    <col min="22" max="22" width="13.140625" bestFit="1" customWidth="1"/>
    <col min="23" max="23" width="12.28515625" bestFit="1" customWidth="1"/>
    <col min="24" max="24" width="13.42578125" bestFit="1" customWidth="1"/>
    <col min="25" max="25" width="12.140625" bestFit="1" customWidth="1"/>
    <col min="26" max="26" width="13.42578125" bestFit="1" customWidth="1"/>
    <col min="27" max="27" width="10.140625" bestFit="1" customWidth="1"/>
    <col min="28" max="28" width="12.28515625" bestFit="1" customWidth="1"/>
    <col min="29" max="29" width="11.7109375" customWidth="1"/>
    <col min="30" max="30" width="10.7109375" bestFit="1" customWidth="1"/>
    <col min="31" max="31" width="10.5703125" bestFit="1" customWidth="1"/>
    <col min="32" max="32" width="11.140625" bestFit="1" customWidth="1"/>
    <col min="33" max="33" width="14.140625" bestFit="1" customWidth="1"/>
    <col min="34" max="34" width="13.140625" bestFit="1" customWidth="1"/>
    <col min="35" max="35" width="12.28515625" bestFit="1" customWidth="1"/>
    <col min="36" max="36" width="13.42578125" bestFit="1" customWidth="1"/>
  </cols>
  <sheetData>
    <row r="2" spans="1:17" ht="15.75" thickBot="1"/>
    <row r="3" spans="1:17" ht="19.5" thickBot="1">
      <c r="B3" s="193" t="s">
        <v>173</v>
      </c>
      <c r="C3" s="194"/>
      <c r="D3" s="195"/>
      <c r="E3" s="649">
        <v>2020</v>
      </c>
      <c r="F3" s="650"/>
      <c r="G3" s="651"/>
      <c r="H3" s="652">
        <v>2021</v>
      </c>
      <c r="I3" s="653"/>
      <c r="J3" s="654"/>
      <c r="K3" s="652">
        <v>2022</v>
      </c>
      <c r="L3" s="653"/>
      <c r="M3" s="654"/>
      <c r="N3" s="652" t="s">
        <v>174</v>
      </c>
      <c r="O3" s="654"/>
    </row>
    <row r="4" spans="1:17" ht="15.75" thickBot="1">
      <c r="B4" s="646" t="s">
        <v>175</v>
      </c>
      <c r="C4" s="196"/>
      <c r="D4" s="197"/>
      <c r="E4" s="198"/>
      <c r="F4" s="199"/>
      <c r="G4" s="200">
        <v>4135145.04</v>
      </c>
      <c r="H4" s="201"/>
      <c r="I4" s="202"/>
      <c r="J4" s="200">
        <v>0</v>
      </c>
      <c r="K4" s="201"/>
      <c r="L4" s="202"/>
      <c r="M4" s="200">
        <v>0</v>
      </c>
      <c r="N4" s="203"/>
      <c r="O4" s="200">
        <v>4135145.04</v>
      </c>
    </row>
    <row r="5" spans="1:17" ht="30" hidden="1" customHeight="1" outlineLevel="1">
      <c r="B5" s="647"/>
      <c r="C5" s="204" t="s">
        <v>176</v>
      </c>
      <c r="D5" s="205" t="s">
        <v>177</v>
      </c>
      <c r="E5" s="206" t="s">
        <v>178</v>
      </c>
      <c r="F5" s="207" t="s">
        <v>179</v>
      </c>
      <c r="G5" s="208" t="s">
        <v>171</v>
      </c>
      <c r="H5" s="209" t="s">
        <v>178</v>
      </c>
      <c r="I5" s="210" t="s">
        <v>179</v>
      </c>
      <c r="J5" s="208" t="s">
        <v>171</v>
      </c>
      <c r="K5" s="209" t="s">
        <v>178</v>
      </c>
      <c r="L5" s="210" t="s">
        <v>179</v>
      </c>
      <c r="M5" s="208" t="s">
        <v>171</v>
      </c>
      <c r="N5" s="211" t="s">
        <v>179</v>
      </c>
      <c r="O5" s="212" t="s">
        <v>171</v>
      </c>
    </row>
    <row r="6" spans="1:17" ht="15" hidden="1" customHeight="1" outlineLevel="1">
      <c r="B6" s="647"/>
      <c r="C6" s="213" t="s">
        <v>180</v>
      </c>
      <c r="D6" s="214" t="s">
        <v>181</v>
      </c>
      <c r="E6" s="215">
        <v>7363.54</v>
      </c>
      <c r="F6" s="216">
        <v>104</v>
      </c>
      <c r="G6" s="217">
        <v>765808.16</v>
      </c>
      <c r="H6" s="218"/>
      <c r="I6" s="219">
        <v>0</v>
      </c>
      <c r="J6" s="220">
        <f>I6*E6</f>
        <v>0</v>
      </c>
      <c r="K6" s="221"/>
      <c r="L6" s="222">
        <v>0</v>
      </c>
      <c r="M6" s="217">
        <f>L6*E6</f>
        <v>0</v>
      </c>
      <c r="N6" s="223">
        <f>F6+I6+L6</f>
        <v>104</v>
      </c>
      <c r="O6" s="217">
        <f>G6+J6+M6</f>
        <v>765808.16</v>
      </c>
    </row>
    <row r="7" spans="1:17" ht="15" hidden="1" customHeight="1" outlineLevel="1">
      <c r="B7" s="647"/>
      <c r="C7" s="213" t="s">
        <v>182</v>
      </c>
      <c r="D7" s="214" t="s">
        <v>181</v>
      </c>
      <c r="E7" s="215">
        <v>29453.67</v>
      </c>
      <c r="F7" s="216">
        <v>104</v>
      </c>
      <c r="G7" s="217">
        <v>3063181.6799999997</v>
      </c>
      <c r="H7" s="218"/>
      <c r="I7" s="219">
        <v>0</v>
      </c>
      <c r="J7" s="220">
        <f>I7*E7</f>
        <v>0</v>
      </c>
      <c r="K7" s="221"/>
      <c r="L7" s="222">
        <v>0</v>
      </c>
      <c r="M7" s="217">
        <f>L7*E7</f>
        <v>0</v>
      </c>
      <c r="N7" s="223">
        <f>F7+I7+L7</f>
        <v>104</v>
      </c>
      <c r="O7" s="217">
        <f t="shared" ref="O7:O8" si="0">G7+J7+M7</f>
        <v>3063181.6799999997</v>
      </c>
    </row>
    <row r="8" spans="1:17" ht="15.75" hidden="1" customHeight="1" outlineLevel="1" thickBot="1">
      <c r="B8" s="648"/>
      <c r="C8" s="224" t="s">
        <v>183</v>
      </c>
      <c r="D8" s="225" t="s">
        <v>184</v>
      </c>
      <c r="E8" s="226"/>
      <c r="F8" s="227">
        <v>1</v>
      </c>
      <c r="G8" s="228">
        <f>SUM(G6:G7)/100*8</f>
        <v>306319.18719999999</v>
      </c>
      <c r="H8" s="229"/>
      <c r="I8" s="230">
        <v>0</v>
      </c>
      <c r="J8" s="228">
        <f>SUM(J6:J7)/100*8</f>
        <v>0</v>
      </c>
      <c r="K8" s="229"/>
      <c r="L8" s="231">
        <v>0</v>
      </c>
      <c r="M8" s="228">
        <f>SUM(M6:M7)/100*8</f>
        <v>0</v>
      </c>
      <c r="N8" s="232">
        <f>F8+I8+L8</f>
        <v>1</v>
      </c>
      <c r="O8" s="228">
        <f t="shared" si="0"/>
        <v>306319.18719999999</v>
      </c>
    </row>
    <row r="9" spans="1:17" ht="15.75" collapsed="1" thickBot="1">
      <c r="B9" s="646" t="s">
        <v>185</v>
      </c>
      <c r="C9" s="233"/>
      <c r="D9" s="234"/>
      <c r="E9" s="235"/>
      <c r="F9" s="236"/>
      <c r="G9" s="237">
        <f>SUM(G11:G17)</f>
        <v>2669874.0263999999</v>
      </c>
      <c r="H9" s="238"/>
      <c r="I9" s="239"/>
      <c r="J9" s="237">
        <f>SUM(J11:J17)</f>
        <v>8872413.5700000003</v>
      </c>
      <c r="K9" s="238"/>
      <c r="L9" s="239"/>
      <c r="M9" s="237">
        <f>SUM(M11:M17)</f>
        <v>8872413.5700000003</v>
      </c>
      <c r="N9" s="240"/>
      <c r="O9" s="237">
        <f>G9+J9+M9</f>
        <v>20414701.1664</v>
      </c>
      <c r="Q9" s="192"/>
    </row>
    <row r="10" spans="1:17" ht="30.75" hidden="1" customHeight="1" outlineLevel="1" thickBot="1">
      <c r="B10" s="647"/>
      <c r="C10" s="241" t="s">
        <v>176</v>
      </c>
      <c r="D10" s="242" t="s">
        <v>177</v>
      </c>
      <c r="E10" s="243" t="s">
        <v>178</v>
      </c>
      <c r="F10" s="244" t="s">
        <v>179</v>
      </c>
      <c r="G10" s="245" t="s">
        <v>171</v>
      </c>
      <c r="H10" s="246" t="s">
        <v>178</v>
      </c>
      <c r="I10" s="247" t="s">
        <v>179</v>
      </c>
      <c r="J10" s="245" t="s">
        <v>171</v>
      </c>
      <c r="K10" s="246" t="s">
        <v>178</v>
      </c>
      <c r="L10" s="243" t="s">
        <v>179</v>
      </c>
      <c r="M10" s="245" t="s">
        <v>171</v>
      </c>
      <c r="N10" s="248" t="s">
        <v>179</v>
      </c>
      <c r="O10" s="245" t="s">
        <v>171</v>
      </c>
    </row>
    <row r="11" spans="1:17" ht="15.75" hidden="1" outlineLevel="1" thickBot="1">
      <c r="A11" s="249"/>
      <c r="B11" s="647"/>
      <c r="C11" s="250" t="s">
        <v>186</v>
      </c>
      <c r="D11" s="251" t="s">
        <v>186</v>
      </c>
      <c r="E11" s="252">
        <v>176722.09</v>
      </c>
      <c r="F11" s="253">
        <v>2</v>
      </c>
      <c r="G11" s="254">
        <f>E11*F11</f>
        <v>353444.18</v>
      </c>
      <c r="H11" s="255">
        <v>176722.09</v>
      </c>
      <c r="I11" s="256">
        <v>0</v>
      </c>
      <c r="J11" s="254">
        <f>I11*E11</f>
        <v>0</v>
      </c>
      <c r="K11" s="255">
        <v>176722.09</v>
      </c>
      <c r="L11" s="256">
        <v>0</v>
      </c>
      <c r="M11" s="217">
        <f>L11*K11</f>
        <v>0</v>
      </c>
      <c r="N11" s="253">
        <f>F11+I11+L11</f>
        <v>2</v>
      </c>
      <c r="O11" s="254">
        <f>G11+J11+M11</f>
        <v>353444.18</v>
      </c>
    </row>
    <row r="12" spans="1:17" ht="15.75" hidden="1" outlineLevel="1" thickBot="1">
      <c r="A12" s="249"/>
      <c r="B12" s="647"/>
      <c r="C12" s="257" t="s">
        <v>187</v>
      </c>
      <c r="D12" s="258" t="s">
        <v>188</v>
      </c>
      <c r="E12" s="215">
        <v>94238.22</v>
      </c>
      <c r="F12" s="216">
        <v>20</v>
      </c>
      <c r="G12" s="217">
        <f t="shared" ref="G12:G16" si="1">E12*F12</f>
        <v>1884764.4</v>
      </c>
      <c r="H12" s="218">
        <v>110663.76</v>
      </c>
      <c r="I12" s="222">
        <v>10</v>
      </c>
      <c r="J12" s="217">
        <f>I12*H12</f>
        <v>1106637.5999999999</v>
      </c>
      <c r="K12" s="218">
        <v>110663.76</v>
      </c>
      <c r="L12" s="222">
        <v>10</v>
      </c>
      <c r="M12" s="217">
        <f>L12*K12</f>
        <v>1106637.5999999999</v>
      </c>
      <c r="N12" s="216">
        <f>F12+I12+L12</f>
        <v>40</v>
      </c>
      <c r="O12" s="217">
        <f t="shared" ref="O12:O17" si="2">G12+J12+M12</f>
        <v>4098039.5999999996</v>
      </c>
    </row>
    <row r="13" spans="1:17" ht="30" hidden="1" customHeight="1" outlineLevel="1">
      <c r="B13" s="647"/>
      <c r="C13" s="259" t="s">
        <v>189</v>
      </c>
      <c r="D13" s="260" t="s">
        <v>190</v>
      </c>
      <c r="E13" s="261">
        <v>23389.7</v>
      </c>
      <c r="F13" s="216">
        <v>10</v>
      </c>
      <c r="G13" s="217">
        <f t="shared" si="1"/>
        <v>233897</v>
      </c>
      <c r="H13" s="262">
        <v>23389.7</v>
      </c>
      <c r="I13" s="222">
        <v>0</v>
      </c>
      <c r="J13" s="217">
        <f t="shared" ref="J13:J16" si="3">I13*E13</f>
        <v>0</v>
      </c>
      <c r="K13" s="262">
        <v>23389.7</v>
      </c>
      <c r="L13" s="222">
        <v>0</v>
      </c>
      <c r="M13" s="217">
        <f t="shared" ref="M13:M16" si="4">L13*K13</f>
        <v>0</v>
      </c>
      <c r="N13" s="216">
        <f t="shared" ref="N13:N17" si="5">F13+I13+L13</f>
        <v>10</v>
      </c>
      <c r="O13" s="217">
        <f t="shared" si="2"/>
        <v>233897</v>
      </c>
    </row>
    <row r="14" spans="1:17" ht="15" hidden="1" customHeight="1" outlineLevel="1">
      <c r="B14" s="647"/>
      <c r="C14" s="259" t="s">
        <v>191</v>
      </c>
      <c r="D14" s="260" t="s">
        <v>191</v>
      </c>
      <c r="E14" s="261">
        <v>20653.169999999998</v>
      </c>
      <c r="F14" s="216">
        <v>0</v>
      </c>
      <c r="G14" s="217">
        <f t="shared" si="1"/>
        <v>0</v>
      </c>
      <c r="H14" s="262">
        <v>20653.169999999998</v>
      </c>
      <c r="I14" s="222">
        <v>250</v>
      </c>
      <c r="J14" s="217">
        <f t="shared" si="3"/>
        <v>5163292.5</v>
      </c>
      <c r="K14" s="262">
        <v>20653.169999999998</v>
      </c>
      <c r="L14" s="222">
        <v>250</v>
      </c>
      <c r="M14" s="217">
        <f t="shared" si="4"/>
        <v>5163292.5</v>
      </c>
      <c r="N14" s="216">
        <f t="shared" si="5"/>
        <v>500</v>
      </c>
      <c r="O14" s="217">
        <f t="shared" si="2"/>
        <v>10326585</v>
      </c>
    </row>
    <row r="15" spans="1:17" ht="15" hidden="1" customHeight="1" outlineLevel="1">
      <c r="B15" s="647"/>
      <c r="C15" s="263" t="s">
        <v>180</v>
      </c>
      <c r="D15" s="264" t="s">
        <v>192</v>
      </c>
      <c r="E15" s="265">
        <v>8645.75</v>
      </c>
      <c r="F15" s="216">
        <v>0</v>
      </c>
      <c r="G15" s="217">
        <f t="shared" si="1"/>
        <v>0</v>
      </c>
      <c r="H15" s="266">
        <v>8645.75</v>
      </c>
      <c r="I15" s="222">
        <v>45</v>
      </c>
      <c r="J15" s="217">
        <f t="shared" si="3"/>
        <v>389058.75</v>
      </c>
      <c r="K15" s="266">
        <v>8645.75</v>
      </c>
      <c r="L15" s="222">
        <v>45</v>
      </c>
      <c r="M15" s="217">
        <f t="shared" si="4"/>
        <v>389058.75</v>
      </c>
      <c r="N15" s="216">
        <f t="shared" si="5"/>
        <v>90</v>
      </c>
      <c r="O15" s="217">
        <f t="shared" si="2"/>
        <v>778117.5</v>
      </c>
    </row>
    <row r="16" spans="1:17" ht="15" hidden="1" customHeight="1" outlineLevel="1">
      <c r="B16" s="647"/>
      <c r="C16" s="259" t="s">
        <v>182</v>
      </c>
      <c r="D16" s="260" t="s">
        <v>192</v>
      </c>
      <c r="E16" s="261">
        <v>34582.42</v>
      </c>
      <c r="F16" s="216">
        <v>0</v>
      </c>
      <c r="G16" s="217">
        <f t="shared" si="1"/>
        <v>0</v>
      </c>
      <c r="H16" s="262">
        <v>34582.42</v>
      </c>
      <c r="I16" s="222">
        <v>45</v>
      </c>
      <c r="J16" s="217">
        <f t="shared" si="3"/>
        <v>1556208.9</v>
      </c>
      <c r="K16" s="262">
        <v>34582.42</v>
      </c>
      <c r="L16" s="222">
        <v>45</v>
      </c>
      <c r="M16" s="217">
        <f t="shared" si="4"/>
        <v>1556208.9</v>
      </c>
      <c r="N16" s="216">
        <f t="shared" si="5"/>
        <v>90</v>
      </c>
      <c r="O16" s="217">
        <f t="shared" si="2"/>
        <v>3112417.8</v>
      </c>
    </row>
    <row r="17" spans="2:17" ht="15.75" hidden="1" outlineLevel="1" thickBot="1">
      <c r="B17" s="648"/>
      <c r="C17" s="267" t="s">
        <v>183</v>
      </c>
      <c r="D17" s="268" t="s">
        <v>184</v>
      </c>
      <c r="E17" s="269"/>
      <c r="F17" s="270">
        <v>1</v>
      </c>
      <c r="G17" s="271">
        <f>SUM(G11:G14)/100*8</f>
        <v>197768.44640000002</v>
      </c>
      <c r="H17" s="272"/>
      <c r="I17" s="269">
        <v>1</v>
      </c>
      <c r="J17" s="271">
        <f>SUM(J11:J16)/100*8</f>
        <v>657215.81999999995</v>
      </c>
      <c r="K17" s="272"/>
      <c r="L17" s="273">
        <v>1</v>
      </c>
      <c r="M17" s="271">
        <f>SUM(M11:M16)/100*8</f>
        <v>657215.81999999995</v>
      </c>
      <c r="N17" s="270">
        <f t="shared" si="5"/>
        <v>3</v>
      </c>
      <c r="O17" s="271">
        <f t="shared" si="2"/>
        <v>1512200.0863999999</v>
      </c>
    </row>
    <row r="18" spans="2:17" ht="15.75" collapsed="1" thickBot="1">
      <c r="B18" s="646" t="s">
        <v>193</v>
      </c>
      <c r="C18" s="199"/>
      <c r="D18" s="274"/>
      <c r="E18" s="202"/>
      <c r="F18" s="199"/>
      <c r="G18" s="275">
        <v>10470464.372026252</v>
      </c>
      <c r="H18" s="276"/>
      <c r="I18" s="277"/>
      <c r="J18" s="278">
        <v>0</v>
      </c>
      <c r="K18" s="279"/>
      <c r="L18" s="274"/>
      <c r="M18" s="280">
        <v>0</v>
      </c>
      <c r="N18" s="281"/>
      <c r="O18" s="200">
        <f>G18+J18+M18</f>
        <v>10470464.372026252</v>
      </c>
      <c r="Q18" s="192"/>
    </row>
    <row r="19" spans="2:17" ht="30" hidden="1" customHeight="1" outlineLevel="1">
      <c r="B19" s="647"/>
      <c r="C19" s="205" t="s">
        <v>194</v>
      </c>
      <c r="D19" s="282" t="s">
        <v>177</v>
      </c>
      <c r="E19" s="283" t="s">
        <v>178</v>
      </c>
      <c r="F19" s="284" t="s">
        <v>179</v>
      </c>
      <c r="G19" s="285" t="s">
        <v>171</v>
      </c>
      <c r="H19" s="209" t="s">
        <v>178</v>
      </c>
      <c r="I19" s="286" t="s">
        <v>179</v>
      </c>
      <c r="J19" s="285" t="s">
        <v>171</v>
      </c>
      <c r="K19" s="209" t="s">
        <v>178</v>
      </c>
      <c r="L19" s="286" t="s">
        <v>179</v>
      </c>
      <c r="M19" s="285" t="s">
        <v>171</v>
      </c>
      <c r="N19" s="284" t="s">
        <v>179</v>
      </c>
      <c r="O19" s="285" t="s">
        <v>171</v>
      </c>
    </row>
    <row r="20" spans="2:17" ht="15.75" hidden="1" outlineLevel="1" thickBot="1">
      <c r="B20" s="648"/>
      <c r="C20" s="287" t="s">
        <v>195</v>
      </c>
      <c r="D20" s="268" t="s">
        <v>196</v>
      </c>
      <c r="E20" s="288">
        <v>2094092.8740000001</v>
      </c>
      <c r="F20" s="270">
        <v>5</v>
      </c>
      <c r="G20" s="289">
        <f>F20*E20</f>
        <v>10470464.370000001</v>
      </c>
      <c r="H20" s="290">
        <v>2094092.8740000001</v>
      </c>
      <c r="I20" s="273">
        <v>0</v>
      </c>
      <c r="J20" s="271">
        <f>I20*H20</f>
        <v>0</v>
      </c>
      <c r="K20" s="272">
        <v>2094092.8740000001</v>
      </c>
      <c r="L20" s="273">
        <v>0</v>
      </c>
      <c r="M20" s="271">
        <f>L20*K20</f>
        <v>0</v>
      </c>
      <c r="N20" s="270">
        <f>F20+I20+L20</f>
        <v>5</v>
      </c>
      <c r="O20" s="271">
        <f>G20+J20+M20</f>
        <v>10470464.370000001</v>
      </c>
    </row>
    <row r="21" spans="2:17" ht="15.75" collapsed="1" thickBot="1">
      <c r="B21" s="646" t="s">
        <v>197</v>
      </c>
      <c r="C21" s="278"/>
      <c r="D21" s="291"/>
      <c r="E21" s="203"/>
      <c r="F21" s="199"/>
      <c r="G21" s="275">
        <v>3476946.1183333299</v>
      </c>
      <c r="H21" s="292"/>
      <c r="I21" s="293"/>
      <c r="J21" s="275">
        <v>2625970.3620000002</v>
      </c>
      <c r="K21" s="292"/>
      <c r="L21" s="294"/>
      <c r="M21" s="275">
        <v>10792132.789999999</v>
      </c>
      <c r="N21" s="295"/>
      <c r="O21" s="275">
        <f>G21+J21+M21</f>
        <v>16895049.270333327</v>
      </c>
    </row>
    <row r="22" spans="2:17" ht="30" hidden="1" customHeight="1" outlineLevel="1">
      <c r="B22" s="647"/>
      <c r="C22" s="282" t="s">
        <v>176</v>
      </c>
      <c r="D22" s="205" t="s">
        <v>177</v>
      </c>
      <c r="E22" s="211" t="s">
        <v>178</v>
      </c>
      <c r="F22" s="207" t="s">
        <v>179</v>
      </c>
      <c r="G22" s="208" t="s">
        <v>171</v>
      </c>
      <c r="H22" s="209" t="s">
        <v>178</v>
      </c>
      <c r="I22" s="286" t="s">
        <v>179</v>
      </c>
      <c r="J22" s="285" t="s">
        <v>171</v>
      </c>
      <c r="K22" s="209" t="s">
        <v>178</v>
      </c>
      <c r="L22" s="286" t="s">
        <v>179</v>
      </c>
      <c r="M22" s="285" t="s">
        <v>171</v>
      </c>
      <c r="N22" s="284" t="s">
        <v>179</v>
      </c>
      <c r="O22" s="285" t="s">
        <v>171</v>
      </c>
    </row>
    <row r="23" spans="2:17" ht="15.75" hidden="1" outlineLevel="1" thickBot="1">
      <c r="B23" s="647"/>
      <c r="C23" s="287" t="s">
        <v>198</v>
      </c>
      <c r="D23" s="287" t="s">
        <v>199</v>
      </c>
      <c r="E23" s="288">
        <v>5960479.0599999996</v>
      </c>
      <c r="F23" s="270">
        <v>0.58333333333333304</v>
      </c>
      <c r="G23" s="271">
        <f>E23*F23</f>
        <v>3476946.1183333313</v>
      </c>
      <c r="H23" s="272">
        <v>5960479.0599999996</v>
      </c>
      <c r="I23" s="296">
        <v>1</v>
      </c>
      <c r="J23" s="271">
        <v>2625970.3620000002</v>
      </c>
      <c r="K23" s="288">
        <v>5960479.0599999996</v>
      </c>
      <c r="L23" s="273">
        <v>1</v>
      </c>
      <c r="M23" s="271">
        <v>10792132.789999999</v>
      </c>
      <c r="N23" s="297">
        <f>F23+I23+L23</f>
        <v>2.583333333333333</v>
      </c>
      <c r="O23" s="271">
        <f>G23+J23+M23</f>
        <v>16895049.270333331</v>
      </c>
    </row>
    <row r="24" spans="2:17" ht="15.75" collapsed="1" thickBot="1">
      <c r="B24" s="298" t="s">
        <v>200</v>
      </c>
      <c r="C24" s="299"/>
      <c r="D24" s="300"/>
      <c r="E24" s="301"/>
      <c r="F24" s="302"/>
      <c r="G24" s="303">
        <f>G4+G9+G18+G21</f>
        <v>20752429.556759581</v>
      </c>
      <c r="H24" s="304"/>
      <c r="I24" s="305"/>
      <c r="J24" s="303">
        <f>J4+J9+J18+J21</f>
        <v>11498383.932</v>
      </c>
      <c r="K24" s="304"/>
      <c r="L24" s="306"/>
      <c r="M24" s="303">
        <f>M4+M9+M18+M21</f>
        <v>19664546.359999999</v>
      </c>
      <c r="N24" s="307"/>
      <c r="O24" s="303">
        <f>O4+O9+O18+O21</f>
        <v>51915359.848759577</v>
      </c>
      <c r="Q24" s="192"/>
    </row>
    <row r="25" spans="2:17" ht="15.75" thickBot="1">
      <c r="B25" s="646" t="s">
        <v>201</v>
      </c>
      <c r="C25" s="199"/>
      <c r="D25" s="274"/>
      <c r="E25" s="202"/>
      <c r="F25" s="308"/>
      <c r="G25" s="200">
        <v>0</v>
      </c>
      <c r="H25" s="201"/>
      <c r="I25" s="309"/>
      <c r="J25" s="200">
        <v>0</v>
      </c>
      <c r="K25" s="201"/>
      <c r="L25" s="310"/>
      <c r="M25" s="200">
        <f>SUM(M27:M36)</f>
        <v>11016940.359999999</v>
      </c>
      <c r="N25" s="310"/>
      <c r="O25" s="200">
        <f>SUM(O27:O36)</f>
        <v>11016940.359999999</v>
      </c>
    </row>
    <row r="26" spans="2:17" ht="30.75" hidden="1" outlineLevel="1" thickBot="1">
      <c r="B26" s="655"/>
      <c r="C26" s="241" t="s">
        <v>176</v>
      </c>
      <c r="D26" s="242" t="s">
        <v>177</v>
      </c>
      <c r="E26" s="311" t="s">
        <v>178</v>
      </c>
      <c r="F26" s="312" t="s">
        <v>179</v>
      </c>
      <c r="G26" s="245" t="s">
        <v>171</v>
      </c>
      <c r="H26" s="313" t="s">
        <v>178</v>
      </c>
      <c r="I26" s="314" t="s">
        <v>179</v>
      </c>
      <c r="J26" s="315" t="s">
        <v>171</v>
      </c>
      <c r="K26" s="316" t="s">
        <v>178</v>
      </c>
      <c r="L26" s="317" t="s">
        <v>179</v>
      </c>
      <c r="M26" s="318" t="s">
        <v>171</v>
      </c>
      <c r="N26" s="314" t="s">
        <v>179</v>
      </c>
      <c r="O26" s="245" t="s">
        <v>171</v>
      </c>
    </row>
    <row r="27" spans="2:17" ht="30.75" hidden="1" outlineLevel="1" thickBot="1">
      <c r="B27" s="655"/>
      <c r="C27" s="319" t="s">
        <v>202</v>
      </c>
      <c r="D27" s="320" t="s">
        <v>203</v>
      </c>
      <c r="E27" s="321">
        <v>8159184</v>
      </c>
      <c r="F27" s="322">
        <v>0</v>
      </c>
      <c r="G27" s="323">
        <f>F27*E27</f>
        <v>0</v>
      </c>
      <c r="H27" s="321">
        <v>8159184</v>
      </c>
      <c r="I27" s="324">
        <v>0</v>
      </c>
      <c r="J27" s="325">
        <f>I27*E27</f>
        <v>0</v>
      </c>
      <c r="K27" s="321">
        <v>8159184</v>
      </c>
      <c r="L27" s="326">
        <v>1</v>
      </c>
      <c r="M27" s="327">
        <f t="shared" ref="M27:M34" si="6">L27*K27</f>
        <v>8159184</v>
      </c>
      <c r="N27" s="328">
        <f>F27+I27+L27</f>
        <v>1</v>
      </c>
      <c r="O27" s="327">
        <f>G27+J27+M27</f>
        <v>8159184</v>
      </c>
    </row>
    <row r="28" spans="2:17" ht="30.75" hidden="1" outlineLevel="1" thickBot="1">
      <c r="B28" s="655"/>
      <c r="C28" s="213" t="s">
        <v>204</v>
      </c>
      <c r="D28" s="329" t="s">
        <v>203</v>
      </c>
      <c r="E28" s="330">
        <v>346765</v>
      </c>
      <c r="F28" s="331">
        <v>0</v>
      </c>
      <c r="G28" s="332">
        <f t="shared" ref="G28:G36" si="7">F28*E28</f>
        <v>0</v>
      </c>
      <c r="H28" s="330">
        <v>346765</v>
      </c>
      <c r="I28" s="333">
        <v>0</v>
      </c>
      <c r="J28" s="334">
        <f t="shared" ref="J28:J36" si="8">I28*E28</f>
        <v>0</v>
      </c>
      <c r="K28" s="330">
        <v>346765</v>
      </c>
      <c r="L28" s="335">
        <v>1</v>
      </c>
      <c r="M28" s="336">
        <f t="shared" si="6"/>
        <v>346765</v>
      </c>
      <c r="N28" s="337">
        <f t="shared" ref="N28:O36" si="9">F28+I28+L28</f>
        <v>1</v>
      </c>
      <c r="O28" s="336">
        <f t="shared" si="9"/>
        <v>346765</v>
      </c>
    </row>
    <row r="29" spans="2:17" ht="45.75" hidden="1" outlineLevel="1" thickBot="1">
      <c r="B29" s="655"/>
      <c r="C29" s="213" t="s">
        <v>205</v>
      </c>
      <c r="D29" s="329" t="s">
        <v>203</v>
      </c>
      <c r="E29" s="330">
        <v>413059</v>
      </c>
      <c r="F29" s="331">
        <v>0</v>
      </c>
      <c r="G29" s="332">
        <f t="shared" si="7"/>
        <v>0</v>
      </c>
      <c r="H29" s="330">
        <v>413059</v>
      </c>
      <c r="I29" s="333">
        <v>0</v>
      </c>
      <c r="J29" s="334">
        <f t="shared" si="8"/>
        <v>0</v>
      </c>
      <c r="K29" s="330">
        <v>413059</v>
      </c>
      <c r="L29" s="335">
        <v>1</v>
      </c>
      <c r="M29" s="336">
        <f t="shared" si="6"/>
        <v>413059</v>
      </c>
      <c r="N29" s="337">
        <f t="shared" si="9"/>
        <v>1</v>
      </c>
      <c r="O29" s="336">
        <f t="shared" si="9"/>
        <v>413059</v>
      </c>
    </row>
    <row r="30" spans="2:17" ht="45.75" hidden="1" outlineLevel="1" thickBot="1">
      <c r="B30" s="655"/>
      <c r="C30" s="213" t="s">
        <v>206</v>
      </c>
      <c r="D30" s="329" t="s">
        <v>203</v>
      </c>
      <c r="E30" s="330">
        <v>413059</v>
      </c>
      <c r="F30" s="331">
        <v>0</v>
      </c>
      <c r="G30" s="332">
        <f t="shared" si="7"/>
        <v>0</v>
      </c>
      <c r="H30" s="330">
        <v>413059</v>
      </c>
      <c r="I30" s="333">
        <v>0</v>
      </c>
      <c r="J30" s="334">
        <f t="shared" si="8"/>
        <v>0</v>
      </c>
      <c r="K30" s="330">
        <v>413059</v>
      </c>
      <c r="L30" s="335">
        <v>1</v>
      </c>
      <c r="M30" s="336">
        <f t="shared" si="6"/>
        <v>413059</v>
      </c>
      <c r="N30" s="337">
        <f t="shared" si="9"/>
        <v>1</v>
      </c>
      <c r="O30" s="336">
        <f t="shared" si="9"/>
        <v>413059</v>
      </c>
    </row>
    <row r="31" spans="2:17" ht="45.75" hidden="1" outlineLevel="1" thickBot="1">
      <c r="B31" s="655"/>
      <c r="C31" s="213" t="s">
        <v>207</v>
      </c>
      <c r="D31" s="338" t="s">
        <v>208</v>
      </c>
      <c r="E31" s="330">
        <v>101990</v>
      </c>
      <c r="F31" s="331">
        <v>0</v>
      </c>
      <c r="G31" s="332">
        <f t="shared" si="7"/>
        <v>0</v>
      </c>
      <c r="H31" s="330">
        <v>101990</v>
      </c>
      <c r="I31" s="333">
        <v>0</v>
      </c>
      <c r="J31" s="334">
        <f t="shared" si="8"/>
        <v>0</v>
      </c>
      <c r="K31" s="330">
        <v>101990</v>
      </c>
      <c r="L31" s="335">
        <v>2</v>
      </c>
      <c r="M31" s="336">
        <f t="shared" si="6"/>
        <v>203980</v>
      </c>
      <c r="N31" s="337">
        <f t="shared" si="9"/>
        <v>2</v>
      </c>
      <c r="O31" s="336">
        <f t="shared" si="9"/>
        <v>203980</v>
      </c>
    </row>
    <row r="32" spans="2:17" ht="45.75" hidden="1" outlineLevel="1" thickBot="1">
      <c r="B32" s="655"/>
      <c r="C32" s="213" t="s">
        <v>209</v>
      </c>
      <c r="D32" s="329" t="s">
        <v>208</v>
      </c>
      <c r="E32" s="330">
        <v>101990</v>
      </c>
      <c r="F32" s="331">
        <v>0</v>
      </c>
      <c r="G32" s="332">
        <f t="shared" si="7"/>
        <v>0</v>
      </c>
      <c r="H32" s="330">
        <v>101990</v>
      </c>
      <c r="I32" s="333">
        <v>0</v>
      </c>
      <c r="J32" s="334">
        <f t="shared" si="8"/>
        <v>0</v>
      </c>
      <c r="K32" s="330">
        <v>101990</v>
      </c>
      <c r="L32" s="335">
        <v>2</v>
      </c>
      <c r="M32" s="336">
        <f t="shared" si="6"/>
        <v>203980</v>
      </c>
      <c r="N32" s="337">
        <f t="shared" si="9"/>
        <v>2</v>
      </c>
      <c r="O32" s="336">
        <f t="shared" si="9"/>
        <v>203980</v>
      </c>
    </row>
    <row r="33" spans="2:17" ht="60.75" hidden="1" outlineLevel="1" thickBot="1">
      <c r="B33" s="655"/>
      <c r="C33" s="213" t="s">
        <v>210</v>
      </c>
      <c r="D33" s="329" t="s">
        <v>208</v>
      </c>
      <c r="E33" s="330">
        <v>101990</v>
      </c>
      <c r="F33" s="331">
        <v>0</v>
      </c>
      <c r="G33" s="332">
        <f t="shared" si="7"/>
        <v>0</v>
      </c>
      <c r="H33" s="330">
        <v>101990</v>
      </c>
      <c r="I33" s="333">
        <v>0</v>
      </c>
      <c r="J33" s="334">
        <f t="shared" si="8"/>
        <v>0</v>
      </c>
      <c r="K33" s="330">
        <v>101990</v>
      </c>
      <c r="L33" s="335">
        <v>2</v>
      </c>
      <c r="M33" s="336">
        <f t="shared" si="6"/>
        <v>203980</v>
      </c>
      <c r="N33" s="337">
        <f t="shared" si="9"/>
        <v>2</v>
      </c>
      <c r="O33" s="336">
        <f t="shared" si="9"/>
        <v>203980</v>
      </c>
    </row>
    <row r="34" spans="2:17" ht="60.75" hidden="1" outlineLevel="1" thickBot="1">
      <c r="B34" s="655"/>
      <c r="C34" s="213" t="s">
        <v>211</v>
      </c>
      <c r="D34" s="329" t="s">
        <v>208</v>
      </c>
      <c r="E34" s="330">
        <v>101990</v>
      </c>
      <c r="F34" s="331">
        <v>0</v>
      </c>
      <c r="G34" s="332">
        <f t="shared" si="7"/>
        <v>0</v>
      </c>
      <c r="H34" s="330">
        <v>101990</v>
      </c>
      <c r="I34" s="333">
        <v>0</v>
      </c>
      <c r="J34" s="334">
        <f t="shared" si="8"/>
        <v>0</v>
      </c>
      <c r="K34" s="330">
        <v>101990</v>
      </c>
      <c r="L34" s="335">
        <v>2</v>
      </c>
      <c r="M34" s="336">
        <f t="shared" si="6"/>
        <v>203980</v>
      </c>
      <c r="N34" s="337">
        <f t="shared" si="9"/>
        <v>2</v>
      </c>
      <c r="O34" s="336">
        <f t="shared" si="9"/>
        <v>203980</v>
      </c>
    </row>
    <row r="35" spans="2:17" ht="45.75" hidden="1" outlineLevel="1" thickBot="1">
      <c r="B35" s="655"/>
      <c r="C35" s="213" t="s">
        <v>212</v>
      </c>
      <c r="D35" s="339" t="s">
        <v>213</v>
      </c>
      <c r="E35" s="330">
        <v>305969</v>
      </c>
      <c r="F35" s="331">
        <v>0</v>
      </c>
      <c r="G35" s="332">
        <f t="shared" si="7"/>
        <v>0</v>
      </c>
      <c r="H35" s="330"/>
      <c r="I35" s="333">
        <v>0</v>
      </c>
      <c r="J35" s="334">
        <f t="shared" si="8"/>
        <v>0</v>
      </c>
      <c r="K35" s="340"/>
      <c r="L35" s="341">
        <v>1</v>
      </c>
      <c r="M35" s="336">
        <f>SUM(M31:M34)/100*15</f>
        <v>122388</v>
      </c>
      <c r="N35" s="342">
        <f t="shared" si="9"/>
        <v>1</v>
      </c>
      <c r="O35" s="336">
        <f t="shared" si="9"/>
        <v>122388</v>
      </c>
    </row>
    <row r="36" spans="2:17" ht="15.75" hidden="1" outlineLevel="1" thickBot="1">
      <c r="B36" s="656"/>
      <c r="C36" s="267" t="s">
        <v>183</v>
      </c>
      <c r="D36" s="343" t="s">
        <v>214</v>
      </c>
      <c r="E36" s="344">
        <v>1493131</v>
      </c>
      <c r="F36" s="345">
        <v>0</v>
      </c>
      <c r="G36" s="346">
        <f t="shared" si="7"/>
        <v>0</v>
      </c>
      <c r="H36" s="344"/>
      <c r="I36" s="347">
        <v>0</v>
      </c>
      <c r="J36" s="348">
        <f t="shared" si="8"/>
        <v>0</v>
      </c>
      <c r="K36" s="349"/>
      <c r="L36" s="350">
        <v>1</v>
      </c>
      <c r="M36" s="351">
        <f>SUM(M27:M30)/100*8</f>
        <v>746565.36</v>
      </c>
      <c r="N36" s="352">
        <f t="shared" si="9"/>
        <v>1</v>
      </c>
      <c r="O36" s="351">
        <f t="shared" si="9"/>
        <v>746565.36</v>
      </c>
    </row>
    <row r="37" spans="2:17" ht="15.75" collapsed="1" thickBot="1">
      <c r="B37" s="657" t="s">
        <v>215</v>
      </c>
      <c r="C37" s="199"/>
      <c r="D37" s="308"/>
      <c r="E37" s="353"/>
      <c r="F37" s="354"/>
      <c r="G37" s="355">
        <f>G39</f>
        <v>5242157.54</v>
      </c>
      <c r="H37" s="356"/>
      <c r="I37" s="353"/>
      <c r="J37" s="355">
        <f>J39</f>
        <v>0</v>
      </c>
      <c r="K37" s="357"/>
      <c r="L37" s="358"/>
      <c r="M37" s="359">
        <f>M39</f>
        <v>0</v>
      </c>
      <c r="N37" s="354"/>
      <c r="O37" s="359">
        <f>O39</f>
        <v>5242157.54</v>
      </c>
    </row>
    <row r="38" spans="2:17" ht="30.75" hidden="1" outlineLevel="1" thickBot="1">
      <c r="B38" s="658"/>
      <c r="C38" s="360" t="s">
        <v>194</v>
      </c>
      <c r="D38" s="361" t="s">
        <v>177</v>
      </c>
      <c r="E38" s="362" t="s">
        <v>178</v>
      </c>
      <c r="F38" s="363" t="s">
        <v>179</v>
      </c>
      <c r="G38" s="364" t="s">
        <v>171</v>
      </c>
      <c r="H38" s="365" t="s">
        <v>178</v>
      </c>
      <c r="I38" s="366" t="s">
        <v>179</v>
      </c>
      <c r="J38" s="364" t="s">
        <v>171</v>
      </c>
      <c r="K38" s="365" t="s">
        <v>178</v>
      </c>
      <c r="L38" s="367" t="s">
        <v>179</v>
      </c>
      <c r="M38" s="368" t="s">
        <v>171</v>
      </c>
      <c r="N38" s="366" t="s">
        <v>179</v>
      </c>
      <c r="O38" s="369" t="s">
        <v>171</v>
      </c>
    </row>
    <row r="39" spans="2:17" ht="15.75" hidden="1" outlineLevel="1" thickBot="1">
      <c r="B39" s="659"/>
      <c r="C39" s="370" t="s">
        <v>195</v>
      </c>
      <c r="D39" s="371" t="s">
        <v>196</v>
      </c>
      <c r="E39" s="372">
        <v>5242157.54</v>
      </c>
      <c r="F39" s="373">
        <v>1</v>
      </c>
      <c r="G39" s="374">
        <f>F39*E39</f>
        <v>5242157.54</v>
      </c>
      <c r="H39" s="375"/>
      <c r="I39" s="376">
        <v>0</v>
      </c>
      <c r="J39" s="377">
        <v>0</v>
      </c>
      <c r="K39" s="378"/>
      <c r="L39" s="379">
        <v>0</v>
      </c>
      <c r="M39" s="380">
        <v>0</v>
      </c>
      <c r="N39" s="381">
        <f>F39+I39+L39</f>
        <v>1</v>
      </c>
      <c r="O39" s="380">
        <f>G39+J39+M39</f>
        <v>5242157.54</v>
      </c>
    </row>
    <row r="40" spans="2:17" ht="15.75" collapsed="1" thickBot="1">
      <c r="B40" s="657" t="s">
        <v>216</v>
      </c>
      <c r="C40" s="199"/>
      <c r="D40" s="274"/>
      <c r="E40" s="202"/>
      <c r="F40" s="308"/>
      <c r="G40" s="382">
        <f>G42</f>
        <v>2621078.77</v>
      </c>
      <c r="H40" s="383"/>
      <c r="I40" s="309"/>
      <c r="J40" s="200">
        <f>J42</f>
        <v>5242157.54</v>
      </c>
      <c r="K40" s="201"/>
      <c r="L40" s="310"/>
      <c r="M40" s="200">
        <f>M42</f>
        <v>7665884.4191999994</v>
      </c>
      <c r="N40" s="310"/>
      <c r="O40" s="200">
        <f>O42</f>
        <v>15529120.7292</v>
      </c>
    </row>
    <row r="41" spans="2:17" ht="15.75" hidden="1" outlineLevel="1" thickBot="1">
      <c r="B41" s="660"/>
      <c r="C41" s="360" t="s">
        <v>194</v>
      </c>
      <c r="D41" s="360" t="s">
        <v>177</v>
      </c>
      <c r="E41" s="362" t="s">
        <v>178</v>
      </c>
      <c r="F41" s="363" t="s">
        <v>179</v>
      </c>
      <c r="G41" s="364" t="s">
        <v>171</v>
      </c>
      <c r="H41" s="365" t="s">
        <v>178</v>
      </c>
      <c r="I41" s="366" t="s">
        <v>179</v>
      </c>
      <c r="J41" s="364" t="s">
        <v>171</v>
      </c>
      <c r="K41" s="365" t="s">
        <v>178</v>
      </c>
      <c r="L41" s="367" t="s">
        <v>179</v>
      </c>
      <c r="M41" s="368" t="s">
        <v>171</v>
      </c>
      <c r="N41" s="366" t="s">
        <v>179</v>
      </c>
      <c r="O41" s="369" t="s">
        <v>171</v>
      </c>
    </row>
    <row r="42" spans="2:17" ht="15.75" hidden="1" outlineLevel="1" thickBot="1">
      <c r="B42" s="661"/>
      <c r="C42" s="384" t="s">
        <v>195</v>
      </c>
      <c r="D42" s="384" t="s">
        <v>199</v>
      </c>
      <c r="E42" s="385">
        <v>5242157.54</v>
      </c>
      <c r="F42" s="386">
        <v>0.5</v>
      </c>
      <c r="G42" s="387">
        <f>F42*E42</f>
        <v>2621078.77</v>
      </c>
      <c r="H42" s="388"/>
      <c r="I42" s="389">
        <v>1</v>
      </c>
      <c r="J42" s="390">
        <f>I42*E42</f>
        <v>5242157.54</v>
      </c>
      <c r="K42" s="388"/>
      <c r="L42" s="391">
        <v>1</v>
      </c>
      <c r="M42" s="392">
        <f>J42+M25/100*22</f>
        <v>7665884.4191999994</v>
      </c>
      <c r="N42" s="391">
        <f>F42+I42+L42</f>
        <v>2.5</v>
      </c>
      <c r="O42" s="392">
        <f>G42+J42+M42</f>
        <v>15529120.7292</v>
      </c>
    </row>
    <row r="43" spans="2:17" ht="15.75" collapsed="1" thickBot="1">
      <c r="B43" s="393" t="s">
        <v>217</v>
      </c>
      <c r="C43" s="299"/>
      <c r="D43" s="300"/>
      <c r="E43" s="301"/>
      <c r="F43" s="299"/>
      <c r="G43" s="303">
        <f>G25+G37+G40</f>
        <v>7863236.3100000005</v>
      </c>
      <c r="H43" s="303"/>
      <c r="I43" s="305"/>
      <c r="J43" s="305">
        <f>J25+J37+J40</f>
        <v>5242157.54</v>
      </c>
      <c r="K43" s="394"/>
      <c r="L43" s="306"/>
      <c r="M43" s="303">
        <f>M25+M37+M40</f>
        <v>18682824.779199999</v>
      </c>
      <c r="N43" s="298"/>
      <c r="O43" s="395">
        <f>O25+O37+O40</f>
        <v>31788218.629199997</v>
      </c>
    </row>
    <row r="44" spans="2:17" ht="15.75" thickBot="1">
      <c r="B44" s="396" t="s">
        <v>218</v>
      </c>
      <c r="C44" s="306"/>
      <c r="D44" s="397"/>
      <c r="E44" s="305"/>
      <c r="F44" s="306"/>
      <c r="G44" s="398">
        <f>G24+G43</f>
        <v>28615665.866759583</v>
      </c>
      <c r="H44" s="399"/>
      <c r="I44" s="400"/>
      <c r="J44" s="398">
        <f>J24+J43</f>
        <v>16740541.471999999</v>
      </c>
      <c r="K44" s="401"/>
      <c r="L44" s="397"/>
      <c r="M44" s="402">
        <f>M24+M43</f>
        <v>38347371.139200002</v>
      </c>
      <c r="N44" s="396"/>
      <c r="O44" s="554">
        <f>O24+O43</f>
        <v>83703578.477959573</v>
      </c>
      <c r="Q44" s="192"/>
    </row>
    <row r="45" spans="2:17" ht="15.75" thickBot="1">
      <c r="B45" s="403" t="s">
        <v>219</v>
      </c>
      <c r="C45" s="404"/>
      <c r="D45" s="405"/>
      <c r="E45" s="406"/>
      <c r="F45" s="404"/>
      <c r="G45" s="407">
        <f>SUM(G46:G47)</f>
        <v>23732677510.137409</v>
      </c>
      <c r="H45" s="408"/>
      <c r="I45" s="409"/>
      <c r="J45" s="408">
        <f>J46+J47</f>
        <v>30028044526.46225</v>
      </c>
      <c r="K45" s="410"/>
      <c r="L45" s="411"/>
      <c r="M45" s="409">
        <f>M46+M47</f>
        <v>39649191221.560829</v>
      </c>
      <c r="N45" s="403"/>
      <c r="O45" s="409">
        <f>O46+O47</f>
        <v>93409913258.160492</v>
      </c>
    </row>
    <row r="46" spans="2:17" ht="15.75" hidden="1" outlineLevel="1" thickBot="1">
      <c r="B46" s="403" t="s">
        <v>220</v>
      </c>
      <c r="C46" s="404"/>
      <c r="D46" s="405"/>
      <c r="E46" s="406"/>
      <c r="F46" s="404"/>
      <c r="G46" s="412">
        <v>23387220734.917702</v>
      </c>
      <c r="H46" s="413"/>
      <c r="I46" s="414"/>
      <c r="J46" s="415">
        <v>29374443473.917656</v>
      </c>
      <c r="K46" s="410"/>
      <c r="L46" s="416"/>
      <c r="M46" s="414">
        <v>37964372729.917664</v>
      </c>
      <c r="N46" s="403"/>
      <c r="O46" s="409">
        <f>G46+J46+M46</f>
        <v>90726036938.753021</v>
      </c>
    </row>
    <row r="47" spans="2:17" ht="15.75" hidden="1" outlineLevel="1" thickBot="1">
      <c r="B47" s="403" t="s">
        <v>221</v>
      </c>
      <c r="C47" s="404"/>
      <c r="D47" s="405"/>
      <c r="E47" s="406"/>
      <c r="F47" s="404"/>
      <c r="G47" s="417">
        <v>345456775.21970892</v>
      </c>
      <c r="H47" s="408"/>
      <c r="I47" s="418"/>
      <c r="J47" s="419">
        <v>653601052.54459357</v>
      </c>
      <c r="K47" s="420"/>
      <c r="L47" s="421"/>
      <c r="M47" s="422">
        <v>1684818491.6431658</v>
      </c>
      <c r="N47" s="403"/>
      <c r="O47" s="409">
        <f>G47+J47+M47</f>
        <v>2683876319.4074683</v>
      </c>
    </row>
    <row r="48" spans="2:17" ht="15.75" collapsed="1" thickBot="1">
      <c r="B48" s="403" t="s">
        <v>222</v>
      </c>
      <c r="C48" s="404"/>
      <c r="D48" s="405"/>
      <c r="E48" s="406"/>
      <c r="F48" s="404"/>
      <c r="G48" s="407">
        <f>SUM(G49:G50)</f>
        <v>6215133821.7327709</v>
      </c>
      <c r="H48" s="413"/>
      <c r="I48" s="423"/>
      <c r="J48" s="407">
        <f>SUM(J49:J50)</f>
        <v>8013504887.3989277</v>
      </c>
      <c r="K48" s="410"/>
      <c r="L48" s="405"/>
      <c r="M48" s="424">
        <f>SUM(M49:M50)</f>
        <v>11903863006.779417</v>
      </c>
      <c r="N48" s="403"/>
      <c r="O48" s="409">
        <f>SUM(O49:O50)</f>
        <v>26132501715.911114</v>
      </c>
    </row>
    <row r="49" spans="1:36" ht="16.5" customHeight="1" outlineLevel="1" thickBot="1">
      <c r="B49" s="403" t="s">
        <v>223</v>
      </c>
      <c r="C49" s="404"/>
      <c r="D49" s="405"/>
      <c r="E49" s="406"/>
      <c r="F49" s="404"/>
      <c r="G49" s="407">
        <v>6124366015.4076195</v>
      </c>
      <c r="H49" s="408"/>
      <c r="I49" s="423"/>
      <c r="J49" s="425">
        <v>7840954209.5271549</v>
      </c>
      <c r="K49" s="410"/>
      <c r="L49" s="405"/>
      <c r="M49" s="424">
        <v>11459070924.98562</v>
      </c>
      <c r="N49" s="426"/>
      <c r="O49" s="414">
        <v>25424391149.920395</v>
      </c>
    </row>
    <row r="50" spans="1:36" ht="15.75" outlineLevel="1" thickBot="1">
      <c r="A50" t="s">
        <v>224</v>
      </c>
      <c r="B50" s="403" t="s">
        <v>225</v>
      </c>
      <c r="C50" s="404"/>
      <c r="D50" s="405"/>
      <c r="E50" s="406"/>
      <c r="F50" s="404"/>
      <c r="G50" s="407">
        <v>90767806.325151145</v>
      </c>
      <c r="H50" s="413"/>
      <c r="I50" s="423"/>
      <c r="J50" s="427">
        <v>172550677.87177271</v>
      </c>
      <c r="K50" s="428"/>
      <c r="L50" s="405"/>
      <c r="M50" s="429">
        <v>444792081.79379582</v>
      </c>
      <c r="N50" s="430"/>
      <c r="O50" s="431">
        <f>G50+J50+M50</f>
        <v>708110565.99071968</v>
      </c>
    </row>
    <row r="51" spans="1:36" ht="30.75" thickBot="1">
      <c r="B51" s="432" t="s">
        <v>226</v>
      </c>
      <c r="C51" s="433"/>
      <c r="D51" s="434"/>
      <c r="E51" s="435"/>
      <c r="F51" s="436"/>
      <c r="G51" s="437">
        <f>G44/G45</f>
        <v>1.2057495769087329E-3</v>
      </c>
      <c r="H51" s="438"/>
      <c r="I51" s="439"/>
      <c r="J51" s="437">
        <f t="shared" ref="J51:M51" si="10">J44/J45</f>
        <v>5.5749689118941381E-4</v>
      </c>
      <c r="K51" s="438"/>
      <c r="L51" s="439"/>
      <c r="M51" s="438">
        <f t="shared" si="10"/>
        <v>9.6716654130253956E-4</v>
      </c>
      <c r="N51" s="438"/>
      <c r="O51" s="439">
        <f>O44/O45</f>
        <v>8.9608881497004334E-4</v>
      </c>
    </row>
    <row r="52" spans="1:36" ht="21.75" customHeight="1" thickBot="1">
      <c r="B52" s="440" t="s">
        <v>227</v>
      </c>
      <c r="C52" s="441"/>
      <c r="D52" s="442"/>
      <c r="E52" s="443"/>
      <c r="F52" s="444"/>
      <c r="G52" s="445">
        <f>G44/G48</f>
        <v>4.6041914281391245E-3</v>
      </c>
      <c r="H52" s="446"/>
      <c r="I52" s="447"/>
      <c r="J52" s="445">
        <f t="shared" ref="J52:O52" si="11">J44/J48</f>
        <v>2.0890411508108215E-3</v>
      </c>
      <c r="K52" s="446"/>
      <c r="L52" s="447"/>
      <c r="M52" s="446">
        <f t="shared" si="11"/>
        <v>3.221422417022158E-3</v>
      </c>
      <c r="N52" s="446"/>
      <c r="O52" s="447">
        <f t="shared" si="11"/>
        <v>3.2030449816060113E-3</v>
      </c>
    </row>
    <row r="56" spans="1:36">
      <c r="G56" s="582"/>
      <c r="H56" s="582"/>
      <c r="I56" s="582"/>
      <c r="J56" s="582"/>
      <c r="K56" s="582"/>
      <c r="L56" s="582"/>
      <c r="M56" s="582"/>
    </row>
    <row r="57" spans="1:36">
      <c r="G57" s="578"/>
      <c r="H57" s="578"/>
      <c r="I57" s="578"/>
      <c r="J57" s="578"/>
      <c r="K57" s="578"/>
      <c r="L57" s="578"/>
      <c r="M57" s="578"/>
    </row>
    <row r="58" spans="1:36">
      <c r="G58" s="578"/>
      <c r="H58" s="578"/>
      <c r="I58" s="578"/>
      <c r="J58" s="578"/>
      <c r="K58" s="578"/>
      <c r="L58" s="578"/>
      <c r="M58" s="578"/>
    </row>
    <row r="59" spans="1:36" s="580" customFormat="1">
      <c r="B59" s="581"/>
      <c r="C59" s="579"/>
      <c r="E59" s="579"/>
      <c r="F59" s="579"/>
    </row>
    <row r="60" spans="1:36"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</row>
    <row r="61" spans="1:36">
      <c r="G61" s="578"/>
      <c r="H61" s="578"/>
      <c r="I61" s="578"/>
      <c r="J61" s="578"/>
      <c r="K61" s="578"/>
      <c r="L61" s="578"/>
      <c r="M61" s="578"/>
      <c r="N61" s="578"/>
      <c r="O61" s="578"/>
      <c r="P61" s="578"/>
      <c r="Q61" s="578"/>
      <c r="R61" s="578"/>
    </row>
    <row r="63" spans="1:36" hidden="1"/>
    <row r="64" spans="1:36" s="585" customFormat="1" hidden="1">
      <c r="C64" s="584"/>
      <c r="E64" s="584"/>
      <c r="F64" s="584"/>
      <c r="G64" s="585">
        <v>44166</v>
      </c>
      <c r="J64" s="585">
        <v>44197</v>
      </c>
      <c r="M64" s="585">
        <v>44228</v>
      </c>
      <c r="O64" s="585">
        <v>44256</v>
      </c>
      <c r="P64" s="585">
        <v>44287</v>
      </c>
      <c r="Q64" s="585">
        <v>44317</v>
      </c>
      <c r="R64" s="585">
        <v>44348</v>
      </c>
      <c r="S64" s="585">
        <v>44378</v>
      </c>
      <c r="T64" s="585">
        <v>44409</v>
      </c>
      <c r="U64" s="585">
        <v>44440</v>
      </c>
      <c r="V64" s="585">
        <v>44470</v>
      </c>
      <c r="W64" s="585">
        <v>44501</v>
      </c>
      <c r="X64" s="585">
        <v>44531</v>
      </c>
      <c r="Y64" s="585">
        <v>44562</v>
      </c>
      <c r="Z64" s="585">
        <v>44593</v>
      </c>
      <c r="AA64" s="585">
        <v>44621</v>
      </c>
      <c r="AB64" s="585">
        <v>44652</v>
      </c>
      <c r="AC64" s="585">
        <v>44682</v>
      </c>
      <c r="AD64" s="585">
        <v>44713</v>
      </c>
      <c r="AE64" s="585">
        <v>44743</v>
      </c>
      <c r="AF64" s="585">
        <v>44774</v>
      </c>
      <c r="AG64" s="585">
        <v>44805</v>
      </c>
      <c r="AH64" s="585">
        <v>44835</v>
      </c>
      <c r="AI64" s="585">
        <v>44866</v>
      </c>
      <c r="AJ64" s="585">
        <v>44896</v>
      </c>
    </row>
    <row r="65" spans="2:36" s="578" customFormat="1" hidden="1">
      <c r="B65" s="578" t="s">
        <v>243</v>
      </c>
      <c r="C65" s="583"/>
      <c r="E65" s="583"/>
      <c r="F65" s="583"/>
      <c r="G65" s="578">
        <f>G44</f>
        <v>28615665.866759583</v>
      </c>
      <c r="J65" s="578">
        <f>$J$44/12</f>
        <v>1395045.1226666665</v>
      </c>
      <c r="M65" s="578">
        <f t="shared" ref="M65:X65" si="12">$J$44/12</f>
        <v>1395045.1226666665</v>
      </c>
      <c r="O65" s="578">
        <f t="shared" si="12"/>
        <v>1395045.1226666665</v>
      </c>
      <c r="P65" s="578">
        <f>$J$44/12</f>
        <v>1395045.1226666665</v>
      </c>
      <c r="Q65" s="578">
        <f t="shared" si="12"/>
        <v>1395045.1226666665</v>
      </c>
      <c r="R65" s="578">
        <f t="shared" si="12"/>
        <v>1395045.1226666665</v>
      </c>
      <c r="S65" s="578">
        <f t="shared" si="12"/>
        <v>1395045.1226666665</v>
      </c>
      <c r="T65" s="578">
        <f t="shared" si="12"/>
        <v>1395045.1226666665</v>
      </c>
      <c r="U65" s="578">
        <f t="shared" si="12"/>
        <v>1395045.1226666665</v>
      </c>
      <c r="V65" s="578">
        <f t="shared" si="12"/>
        <v>1395045.1226666665</v>
      </c>
      <c r="W65" s="578">
        <f t="shared" si="12"/>
        <v>1395045.1226666665</v>
      </c>
      <c r="X65" s="578">
        <f t="shared" si="12"/>
        <v>1395045.1226666665</v>
      </c>
      <c r="Y65" s="578">
        <f>$M$44/12</f>
        <v>3195614.2616000003</v>
      </c>
      <c r="Z65" s="578">
        <f t="shared" ref="Z65:AJ65" si="13">$M$44/12</f>
        <v>3195614.2616000003</v>
      </c>
      <c r="AA65" s="578">
        <f t="shared" si="13"/>
        <v>3195614.2616000003</v>
      </c>
      <c r="AB65" s="578">
        <f t="shared" si="13"/>
        <v>3195614.2616000003</v>
      </c>
      <c r="AC65" s="578">
        <f t="shared" si="13"/>
        <v>3195614.2616000003</v>
      </c>
      <c r="AD65" s="578">
        <f t="shared" si="13"/>
        <v>3195614.2616000003</v>
      </c>
      <c r="AE65" s="578">
        <f t="shared" si="13"/>
        <v>3195614.2616000003</v>
      </c>
      <c r="AF65" s="578">
        <f t="shared" si="13"/>
        <v>3195614.2616000003</v>
      </c>
      <c r="AG65" s="578">
        <f t="shared" si="13"/>
        <v>3195614.2616000003</v>
      </c>
      <c r="AH65" s="578">
        <f t="shared" si="13"/>
        <v>3195614.2616000003</v>
      </c>
      <c r="AI65" s="578">
        <f t="shared" si="13"/>
        <v>3195614.2616000003</v>
      </c>
      <c r="AJ65" s="578">
        <f t="shared" si="13"/>
        <v>3195614.2616000003</v>
      </c>
    </row>
    <row r="66" spans="2:36" s="578" customFormat="1" hidden="1">
      <c r="B66" s="578" t="s">
        <v>244</v>
      </c>
      <c r="C66" s="583"/>
      <c r="E66" s="583"/>
      <c r="F66" s="583"/>
      <c r="G66" s="578">
        <f>G65</f>
        <v>28615665.866759583</v>
      </c>
      <c r="J66" s="578">
        <f>G66+J65</f>
        <v>30010710.989426252</v>
      </c>
      <c r="M66" s="578">
        <f>J66+M65</f>
        <v>31405756.11209292</v>
      </c>
      <c r="O66" s="578">
        <f>M66+O65</f>
        <v>32800801.234759588</v>
      </c>
      <c r="P66" s="578">
        <f>O66+P65</f>
        <v>34195846.357426256</v>
      </c>
      <c r="Q66" s="578">
        <f t="shared" ref="Q66:AJ66" si="14">P66+Q65</f>
        <v>35590891.48009292</v>
      </c>
      <c r="R66" s="578">
        <f t="shared" si="14"/>
        <v>36985936.602759585</v>
      </c>
      <c r="S66" s="578">
        <f t="shared" si="14"/>
        <v>38380981.725426249</v>
      </c>
      <c r="T66" s="578">
        <f t="shared" si="14"/>
        <v>39776026.848092914</v>
      </c>
      <c r="U66" s="578">
        <f t="shared" si="14"/>
        <v>41171071.970759578</v>
      </c>
      <c r="V66" s="578">
        <f t="shared" si="14"/>
        <v>42566117.093426242</v>
      </c>
      <c r="W66" s="578">
        <f t="shared" si="14"/>
        <v>43961162.216092907</v>
      </c>
      <c r="X66" s="578">
        <f t="shared" si="14"/>
        <v>45356207.338759571</v>
      </c>
      <c r="Y66" s="578">
        <f t="shared" si="14"/>
        <v>48551821.600359574</v>
      </c>
      <c r="Z66" s="578">
        <f t="shared" si="14"/>
        <v>51747435.861959577</v>
      </c>
      <c r="AA66" s="578">
        <f t="shared" si="14"/>
        <v>54943050.123559579</v>
      </c>
      <c r="AB66" s="578">
        <f t="shared" si="14"/>
        <v>58138664.385159582</v>
      </c>
      <c r="AC66" s="578">
        <f t="shared" si="14"/>
        <v>61334278.646759585</v>
      </c>
      <c r="AD66" s="578">
        <f t="shared" si="14"/>
        <v>64529892.908359587</v>
      </c>
      <c r="AE66" s="578">
        <f t="shared" si="14"/>
        <v>67725507.16995959</v>
      </c>
      <c r="AF66" s="578">
        <f t="shared" si="14"/>
        <v>70921121.431559592</v>
      </c>
      <c r="AG66" s="578">
        <f t="shared" si="14"/>
        <v>74116735.693159595</v>
      </c>
      <c r="AH66" s="578">
        <f t="shared" si="14"/>
        <v>77312349.954759598</v>
      </c>
      <c r="AI66" s="578">
        <f t="shared" si="14"/>
        <v>80507964.2163596</v>
      </c>
      <c r="AJ66" s="578">
        <f t="shared" si="14"/>
        <v>83703578.477959603</v>
      </c>
    </row>
    <row r="67" spans="2:36" hidden="1"/>
  </sheetData>
  <mergeCells count="11">
    <mergeCell ref="B18:B20"/>
    <mergeCell ref="B21:B23"/>
    <mergeCell ref="B25:B36"/>
    <mergeCell ref="B37:B39"/>
    <mergeCell ref="B40:B42"/>
    <mergeCell ref="B9:B17"/>
    <mergeCell ref="E3:G3"/>
    <mergeCell ref="H3:J3"/>
    <mergeCell ref="K3:M3"/>
    <mergeCell ref="N3:O3"/>
    <mergeCell ref="B4:B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Бизнес-план</vt:lpstr>
      <vt:lpstr>Синергия_доходы - расходы</vt:lpstr>
      <vt:lpstr>Расходы на пополнение карт</vt:lpstr>
      <vt:lpstr>Свод по инвестициям в SAP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Шингарев Евгений Александрович</dc:creator>
  <cp:lastModifiedBy>Богер</cp:lastModifiedBy>
  <dcterms:created xsi:type="dcterms:W3CDTF">2020-06-16T06:27:37Z</dcterms:created>
  <dcterms:modified xsi:type="dcterms:W3CDTF">2020-06-18T02:52:12Z</dcterms:modified>
</cp:coreProperties>
</file>